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https://reliascenttrial-my.sharepoint.com/personal/cevans_reliascent_com/Documents/Training Collaboration/Proposals/DOE Phase I/Final Templates/"/>
    </mc:Choice>
  </mc:AlternateContent>
  <xr:revisionPtr revIDLastSave="320" documentId="13_ncr:1_{0E4AB32D-C339-4FF3-B56A-36158C6BB48E}" xr6:coauthVersionLast="47" xr6:coauthVersionMax="47" xr10:uidLastSave="{46CD0800-9073-4713-8C85-061942D45CC3}"/>
  <bookViews>
    <workbookView xWindow="-110" yWindow="-110" windowWidth="25180" windowHeight="16260" tabRatio="796" xr2:uid="{00000000-000D-0000-FFFF-FFFF00000000}"/>
  </bookViews>
  <sheets>
    <sheet name="Read me first" sheetId="2" r:id="rId1"/>
    <sheet name="SF-424_RR-Budget-(RAversion)" sheetId="1" r:id="rId2"/>
    <sheet name="LOE worksheet" sheetId="8" state="hidden" r:id="rId3"/>
    <sheet name="New LOE Worksheet" sheetId="10" r:id="rId4"/>
    <sheet name="Travel BOE" sheetId="5" r:id="rId5"/>
    <sheet name="Material BOE" sheetId="6" r:id="rId6"/>
    <sheet name="Labor BOE" sheetId="7" r:id="rId7"/>
    <sheet name="SubBudget" sheetId="9" r:id="rId8"/>
    <sheet name="Additional Resources" sheetId="11"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6" i="1" l="1"/>
  <c r="J55" i="1" l="1"/>
  <c r="K17" i="1"/>
  <c r="L17" i="1" s="1"/>
  <c r="O11" i="1"/>
  <c r="K11" i="1" s="1"/>
  <c r="L11" i="1" s="1"/>
  <c r="O12" i="1"/>
  <c r="K12" i="1" s="1"/>
  <c r="L12" i="1" s="1"/>
  <c r="O13" i="1"/>
  <c r="K13" i="1" s="1"/>
  <c r="L13" i="1" s="1"/>
  <c r="O14" i="1"/>
  <c r="K14" i="1" s="1"/>
  <c r="L14" i="1" s="1"/>
  <c r="O15" i="1"/>
  <c r="K15" i="1" s="1"/>
  <c r="L15" i="1" s="1"/>
  <c r="O16" i="1"/>
  <c r="K16" i="1" s="1"/>
  <c r="L16" i="1" s="1"/>
  <c r="O17" i="1"/>
  <c r="O18" i="1"/>
  <c r="K18" i="1" s="1"/>
  <c r="L18" i="1" s="1"/>
  <c r="B7" i="10"/>
  <c r="D17" i="6"/>
  <c r="S24" i="1"/>
  <c r="J81" i="1" l="1"/>
  <c r="B11" i="8"/>
  <c r="B4" i="8"/>
  <c r="C6" i="10"/>
  <c r="C7" i="10" s="1"/>
  <c r="D11" i="10"/>
  <c r="E12" i="10"/>
  <c r="B9" i="10"/>
  <c r="B8" i="10"/>
  <c r="B6" i="10"/>
  <c r="G13" i="1"/>
  <c r="G14" i="1"/>
  <c r="G15" i="1"/>
  <c r="G16" i="1"/>
  <c r="G17" i="1"/>
  <c r="G11" i="1"/>
  <c r="E11" i="10" l="1"/>
  <c r="L11" i="9"/>
  <c r="L13" i="9"/>
  <c r="B10" i="8"/>
  <c r="D16" i="6"/>
  <c r="D15" i="6"/>
  <c r="D12" i="6"/>
  <c r="D13" i="6"/>
  <c r="D14" i="6"/>
  <c r="D11" i="6"/>
  <c r="D10" i="6"/>
  <c r="D9" i="6"/>
  <c r="D8" i="6"/>
  <c r="B14" i="2"/>
  <c r="L30" i="9"/>
  <c r="K30" i="9" s="1"/>
  <c r="L27" i="9"/>
  <c r="K27" i="9" s="1"/>
  <c r="J27" i="9"/>
  <c r="M27" i="9" s="1"/>
  <c r="J24" i="9"/>
  <c r="K24" i="9" s="1"/>
  <c r="L19" i="9"/>
  <c r="K19" i="9" s="1"/>
  <c r="L16" i="9"/>
  <c r="K16" i="9" s="1"/>
  <c r="J16" i="9"/>
  <c r="M16" i="9" s="1"/>
  <c r="J13" i="9"/>
  <c r="J19" i="9" s="1"/>
  <c r="K13" i="9" l="1"/>
  <c r="M19" i="9" s="1"/>
  <c r="M30" i="9"/>
  <c r="J30" i="9"/>
  <c r="E30" i="9" l="1"/>
  <c r="D30" i="9" s="1"/>
  <c r="E27" i="9"/>
  <c r="D27" i="9" s="1"/>
  <c r="C27" i="9"/>
  <c r="F27" i="9" s="1"/>
  <c r="C24" i="9"/>
  <c r="D24" i="9" s="1"/>
  <c r="F30" i="9" s="1"/>
  <c r="E19" i="9"/>
  <c r="D19" i="9" s="1"/>
  <c r="E16" i="9"/>
  <c r="D16" i="9" s="1"/>
  <c r="C16" i="9"/>
  <c r="F16" i="9" s="1"/>
  <c r="C13" i="9"/>
  <c r="C19" i="9" s="1"/>
  <c r="D13" i="9" l="1"/>
  <c r="F19" i="9" s="1"/>
  <c r="C30" i="9"/>
  <c r="L5" i="5" l="1"/>
  <c r="L6" i="5"/>
  <c r="L7" i="5"/>
  <c r="L8" i="5"/>
  <c r="L9" i="5"/>
  <c r="O25" i="1"/>
  <c r="K25" i="1" s="1"/>
  <c r="L25" i="1" s="1"/>
  <c r="O26" i="1"/>
  <c r="K26" i="1" s="1"/>
  <c r="L26" i="1" s="1"/>
  <c r="O27" i="1"/>
  <c r="K27" i="1" s="1"/>
  <c r="L27" i="1" s="1"/>
  <c r="O32" i="1"/>
  <c r="Q32" i="1"/>
  <c r="H32" i="1" s="1"/>
  <c r="G32" i="1"/>
  <c r="Q18" i="1"/>
  <c r="H18" i="1" s="1"/>
  <c r="G18" i="1"/>
  <c r="D7" i="6"/>
  <c r="D6" i="6"/>
  <c r="O31" i="1"/>
  <c r="O30" i="1"/>
  <c r="O29" i="1"/>
  <c r="O28" i="1"/>
  <c r="B16" i="2"/>
  <c r="B15" i="2" s="1"/>
  <c r="J70" i="1"/>
  <c r="A34" i="1"/>
  <c r="Q26" i="1"/>
  <c r="H26" i="1" s="1"/>
  <c r="G26" i="1"/>
  <c r="G25" i="1"/>
  <c r="Q31" i="1"/>
  <c r="H31" i="1" s="1"/>
  <c r="G31" i="1"/>
  <c r="Q30" i="1"/>
  <c r="H30" i="1" s="1"/>
  <c r="G30" i="1"/>
  <c r="Q29" i="1"/>
  <c r="H29" i="1" s="1"/>
  <c r="G29" i="1"/>
  <c r="Q28" i="1"/>
  <c r="H28" i="1" s="1"/>
  <c r="G28" i="1"/>
  <c r="Q27" i="1"/>
  <c r="H27" i="1" s="1"/>
  <c r="G27" i="1"/>
  <c r="Q25" i="1"/>
  <c r="H25" i="1" s="1"/>
  <c r="Q17" i="1"/>
  <c r="H17" i="1" s="1"/>
  <c r="Q16" i="1"/>
  <c r="H16" i="1" s="1"/>
  <c r="Q15" i="1"/>
  <c r="H15" i="1" s="1"/>
  <c r="Q14" i="1"/>
  <c r="H14" i="1" s="1"/>
  <c r="Q13" i="1"/>
  <c r="H13" i="1" s="1"/>
  <c r="Q12" i="1"/>
  <c r="H12" i="1" s="1"/>
  <c r="Q11" i="1"/>
  <c r="H11" i="1" s="1"/>
  <c r="B24" i="2"/>
  <c r="K31" i="1" l="1"/>
  <c r="L31" i="1" s="1"/>
  <c r="K28" i="1"/>
  <c r="L28" i="1" s="1"/>
  <c r="K29" i="1"/>
  <c r="L29" i="1" s="1"/>
  <c r="K30" i="1"/>
  <c r="L30" i="1" s="1"/>
  <c r="K32" i="1"/>
  <c r="L32" i="1" s="1"/>
  <c r="D18" i="6"/>
  <c r="I87" i="1" s="1"/>
  <c r="B18" i="2"/>
  <c r="B31" i="2"/>
  <c r="B19" i="2" s="1"/>
  <c r="M27" i="1"/>
  <c r="M26" i="1"/>
  <c r="M25" i="1"/>
  <c r="M14" i="1"/>
  <c r="M18" i="1"/>
  <c r="M17" i="1"/>
  <c r="M13" i="1"/>
  <c r="M16" i="1"/>
  <c r="M15" i="1"/>
  <c r="L11" i="5"/>
  <c r="J59" i="1" s="1"/>
  <c r="J61" i="1" s="1"/>
  <c r="B13" i="2"/>
  <c r="G12" i="1"/>
  <c r="M30" i="1" l="1"/>
  <c r="M29" i="1"/>
  <c r="M28" i="1"/>
  <c r="C117" i="1"/>
  <c r="M32" i="1"/>
  <c r="M31" i="1"/>
  <c r="M11" i="1"/>
  <c r="B20" i="2"/>
  <c r="M12" i="1"/>
  <c r="N34" i="1" l="1"/>
  <c r="N20" i="1"/>
  <c r="C115" i="1"/>
  <c r="N36" i="1" l="1"/>
  <c r="I92" i="1" s="1"/>
  <c r="G96" i="1" s="1"/>
  <c r="I96" i="1" s="1"/>
  <c r="C116" i="1" l="1"/>
  <c r="C118" i="1" s="1"/>
  <c r="M8" i="1" s="1"/>
  <c r="I100" i="1"/>
  <c r="I104" i="1" s="1"/>
  <c r="I107" i="1" s="1"/>
  <c r="I110" i="1" l="1"/>
  <c r="C5" i="10" l="1"/>
  <c r="M7" i="1"/>
  <c r="B3" i="8"/>
  <c r="C9" i="10" l="1"/>
  <c r="D9" i="10" s="1"/>
  <c r="C8" i="10"/>
  <c r="D8" i="10" s="1"/>
  <c r="B9" i="8"/>
  <c r="B5" i="8"/>
  <c r="D12" i="10"/>
  <c r="E8" i="10"/>
  <c r="E9" i="10"/>
  <c r="B14" i="8" l="1"/>
  <c r="B1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Dave's Desktop</author>
  </authors>
  <commentList>
    <comment ref="R10" authorId="0" shapeId="0" xr:uid="{00000000-0006-0000-0100-000001000000}">
      <text>
        <r>
          <rPr>
            <sz val="9"/>
            <color indexed="81"/>
            <rFont val="Tahoma"/>
            <family val="2"/>
          </rPr>
          <t>Can be zero, meaning fringe costs are included in the indirect rate</t>
        </r>
      </text>
    </comment>
    <comment ref="R24" authorId="0" shapeId="0" xr:uid="{00000000-0006-0000-0100-000002000000}">
      <text>
        <r>
          <rPr>
            <sz val="9"/>
            <color indexed="81"/>
            <rFont val="Tahoma"/>
            <family val="2"/>
          </rPr>
          <t>Can be zero, meaning fringe costs are included in the indirect rate</t>
        </r>
      </text>
    </comment>
    <comment ref="B41" authorId="0" shapeId="0" xr:uid="{00000000-0006-0000-0100-000003000000}">
      <text>
        <r>
          <rPr>
            <sz val="9"/>
            <color indexed="81"/>
            <rFont val="Tahoma"/>
            <family val="2"/>
          </rPr>
          <t>Validating your need is critical. Best if you can lease or purchase as a tangible (depreciated) asset. Should be no more than 10% of total budget.</t>
        </r>
      </text>
    </comment>
    <comment ref="C60" authorId="0" shapeId="0" xr:uid="{00000000-0006-0000-0100-000004000000}">
      <text>
        <r>
          <rPr>
            <sz val="9"/>
            <color indexed="81"/>
            <rFont val="Tahoma"/>
            <family val="2"/>
          </rPr>
          <t>Foreign travel not allowed for SBIR/STTR, "except in rare and unique circumstances"</t>
        </r>
      </text>
    </comment>
    <comment ref="B64" authorId="0" shapeId="0" xr:uid="{00000000-0006-0000-0100-000005000000}">
      <text>
        <r>
          <rPr>
            <sz val="9"/>
            <color indexed="81"/>
            <rFont val="Tahoma"/>
            <family val="2"/>
          </rPr>
          <t>These costs typically don't apply to recipient SBIR/STTR grants (primes)</t>
        </r>
      </text>
    </comment>
    <comment ref="H78" authorId="0" shapeId="0" xr:uid="{00000000-0006-0000-0100-000006000000}">
      <text>
        <r>
          <rPr>
            <sz val="9"/>
            <color indexed="81"/>
            <rFont val="Tahoma"/>
            <family val="2"/>
          </rPr>
          <t>Current DOE approach is any hourly rate over $150/hr must be justified.</t>
        </r>
      </text>
    </comment>
    <comment ref="G96" authorId="0" shapeId="0" xr:uid="{00000000-0006-0000-0100-000007000000}">
      <text>
        <r>
          <rPr>
            <sz val="9"/>
            <color indexed="81"/>
            <rFont val="Tahoma"/>
            <family val="2"/>
          </rPr>
          <t>Base can be changed to include only labor, but adjust rate accordingly</t>
        </r>
      </text>
    </comment>
    <comment ref="I96" authorId="0" shapeId="0" xr:uid="{00000000-0006-0000-0100-000008000000}">
      <text>
        <r>
          <rPr>
            <sz val="9"/>
            <color indexed="81"/>
            <rFont val="Tahoma"/>
            <family val="2"/>
          </rPr>
          <t>This should represent what's needed to sustain the firm's administrative costs over the grant period</t>
        </r>
      </text>
    </comment>
  </commentList>
</comments>
</file>

<file path=xl/sharedStrings.xml><?xml version="1.0" encoding="utf-8"?>
<sst xmlns="http://schemas.openxmlformats.org/spreadsheetml/2006/main" count="385" uniqueCount="285">
  <si>
    <t>DOE Phase 1 Assistance</t>
  </si>
  <si>
    <t>Budget Planning Worksheet</t>
  </si>
  <si>
    <t>Note: Shaded cells are input cells. Do not change other cell formulas.</t>
  </si>
  <si>
    <t>Total Grant Amount</t>
  </si>
  <si>
    <t>$200,000 or $250,000 based on topic</t>
  </si>
  <si>
    <t>Fee</t>
  </si>
  <si>
    <t>Assuming the maximum 7% fee allowed</t>
  </si>
  <si>
    <t>Total Cost</t>
  </si>
  <si>
    <t>Summation of all cost, direct and indirect</t>
  </si>
  <si>
    <t>Indirect costs</t>
  </si>
  <si>
    <t>Critical for a small business. Is this figure (cell b15) enough to sustain the firm's administrative costs for nine-twelve months? (25% is a placeholder)</t>
  </si>
  <si>
    <t>Direct Costs</t>
  </si>
  <si>
    <t>Total budget available for direct project costs</t>
  </si>
  <si>
    <t>Direct Cost Target</t>
  </si>
  <si>
    <t>Direct Costs Calculated</t>
  </si>
  <si>
    <t>Variance</t>
  </si>
  <si>
    <t>Direct Costs calculated</t>
  </si>
  <si>
    <t>Roughly lay out your anticipated direct project costs (figures shown are placeholders only)</t>
  </si>
  <si>
    <t>Labor</t>
  </si>
  <si>
    <t>Fringe as a direct cost</t>
  </si>
  <si>
    <t>Fringe costs may be included in your indirect rate or shown separately here</t>
  </si>
  <si>
    <t>Equipment</t>
  </si>
  <si>
    <t>PV cell laminator, welder, xxx</t>
  </si>
  <si>
    <t>Travel</t>
  </si>
  <si>
    <t>Material/Supplies</t>
  </si>
  <si>
    <t>IOT, servers</t>
  </si>
  <si>
    <t>Consultants</t>
  </si>
  <si>
    <t>GAP engineering</t>
  </si>
  <si>
    <t>Subawards</t>
  </si>
  <si>
    <t>University may need to fill-out the SF-424 Subaward budget</t>
  </si>
  <si>
    <t>Other</t>
  </si>
  <si>
    <t>Total</t>
  </si>
  <si>
    <t>SF-424_RR-Budget Worksheet (ReliAscent Version)</t>
  </si>
  <si>
    <r>
      <t xml:space="preserve">This worksheet </t>
    </r>
    <r>
      <rPr>
        <b/>
        <sz val="11"/>
        <color rgb="FFFF0000"/>
        <rFont val="Calibri"/>
        <family val="2"/>
        <scheme val="minor"/>
      </rPr>
      <t>simulates</t>
    </r>
    <r>
      <rPr>
        <b/>
        <sz val="11"/>
        <color theme="1"/>
        <rFont val="Calibri"/>
        <family val="2"/>
        <scheme val="minor"/>
      </rPr>
      <t xml:space="preserve"> the SF-424 RR-Budget PDF form in the application package. It does not get uploaded to Workspace.</t>
    </r>
  </si>
  <si>
    <r>
      <t>The FOA suggests “</t>
    </r>
    <r>
      <rPr>
        <b/>
        <sz val="11.5"/>
        <color theme="1"/>
        <rFont val="Calibri"/>
        <family val="2"/>
        <scheme val="minor"/>
      </rPr>
      <t>All budget items should be rounded to the nearest dollar and consistent with the budget justification form.”</t>
    </r>
  </si>
  <si>
    <t>Note: Shaded cells are input cells. All others contain formulas. This is sample data only. Either replace or delete existing data in the shaded cells.</t>
  </si>
  <si>
    <t>Calculated Totals</t>
  </si>
  <si>
    <t>Total Budget</t>
  </si>
  <si>
    <t>Indirect Ratio</t>
  </si>
  <si>
    <t>A. Senior/Key Person</t>
  </si>
  <si>
    <t>Labor Worksheet</t>
  </si>
  <si>
    <t>Prefix</t>
  </si>
  <si>
    <t xml:space="preserve">First </t>
  </si>
  <si>
    <t xml:space="preserve">Middle </t>
  </si>
  <si>
    <t xml:space="preserve">Last </t>
  </si>
  <si>
    <t>Suffix</t>
  </si>
  <si>
    <t>Project Role</t>
  </si>
  <si>
    <t>Base Salary ($)</t>
  </si>
  <si>
    <t>Cal. Months</t>
  </si>
  <si>
    <t>Acad. Months</t>
  </si>
  <si>
    <t>Sum months</t>
  </si>
  <si>
    <t>Requested salary</t>
  </si>
  <si>
    <t>Fringe benefits</t>
  </si>
  <si>
    <t>Funds requested</t>
  </si>
  <si>
    <t>Hours</t>
  </si>
  <si>
    <t>Hourly rate</t>
  </si>
  <si>
    <t>Annual Salary</t>
  </si>
  <si>
    <t>Cal Months</t>
  </si>
  <si>
    <t>Fringe % =</t>
  </si>
  <si>
    <t>Dr</t>
  </si>
  <si>
    <t>PI</t>
  </si>
  <si>
    <t>See Labor BOE tab for labor rates</t>
  </si>
  <si>
    <t>Total Senior/Key Personnel</t>
  </si>
  <si>
    <t>B. Other Personnel</t>
  </si>
  <si>
    <t>Number of Personnel</t>
  </si>
  <si>
    <t xml:space="preserve">    Total Number Other Personnel</t>
  </si>
  <si>
    <t>Total Other Personnel</t>
  </si>
  <si>
    <t xml:space="preserve">Total Salary, Wages and Fringe Benefits (A+B) </t>
  </si>
  <si>
    <t xml:space="preserve">Sections C, D &amp; E </t>
  </si>
  <si>
    <t>C. Equipment Description</t>
  </si>
  <si>
    <t>List items and dollar amount for each item exceeding $5,000</t>
  </si>
  <si>
    <t>Equipment Item</t>
  </si>
  <si>
    <t>Funds requested ($)</t>
  </si>
  <si>
    <t>NA</t>
  </si>
  <si>
    <t>Total Equipment</t>
  </si>
  <si>
    <t xml:space="preserve">D. Travel </t>
  </si>
  <si>
    <t>Funds Requested ($)</t>
  </si>
  <si>
    <t>Domestic Travel Costs</t>
  </si>
  <si>
    <t>&lt;----------------</t>
  </si>
  <si>
    <t>Linked to Travel BOE tab calculator</t>
  </si>
  <si>
    <t>Foreign Travel Costs</t>
  </si>
  <si>
    <t>Total Travel Cost</t>
  </si>
  <si>
    <t>E. Participant/Trainee Support Costs</t>
  </si>
  <si>
    <t>Tuition/Fees/Health Insurance</t>
  </si>
  <si>
    <t>Stipends</t>
  </si>
  <si>
    <t>Subsistence</t>
  </si>
  <si>
    <t>No. of participants/trainees</t>
  </si>
  <si>
    <t>Total Participant/Trainee Costs</t>
  </si>
  <si>
    <t>Section F-J</t>
  </si>
  <si>
    <t>F. Other Direct Costs</t>
  </si>
  <si>
    <t>Materials and supplies</t>
  </si>
  <si>
    <t>&lt;--------------</t>
  </si>
  <si>
    <t>Linked to Material BOE tab</t>
  </si>
  <si>
    <t>Publication Costs</t>
  </si>
  <si>
    <t>Consultant Services</t>
  </si>
  <si>
    <t>ADP/Computer Services</t>
  </si>
  <si>
    <t>5a</t>
  </si>
  <si>
    <t>STTR Subawards/Consortium/Contractual Costs</t>
  </si>
  <si>
    <t>See SubBudget tab for budget limitations</t>
  </si>
  <si>
    <t>5b</t>
  </si>
  <si>
    <t>Other Subawards/Consortium/Contractual Costs</t>
  </si>
  <si>
    <t>total Subs</t>
  </si>
  <si>
    <t>Equipment or facility User Rental Fees</t>
  </si>
  <si>
    <t>Alterations or renovations</t>
  </si>
  <si>
    <t>Consultant services - TABA Vendor</t>
  </si>
  <si>
    <t>1099s go here as "Other"</t>
  </si>
  <si>
    <t>Total Other Direct Costs</t>
  </si>
  <si>
    <t>G. Direct Costs</t>
  </si>
  <si>
    <t>Total Direct Costs (A thru F)</t>
  </si>
  <si>
    <t>H. Indirect Costs</t>
  </si>
  <si>
    <t>Indirect Cost Type</t>
  </si>
  <si>
    <t>Indirect cost rate (%)</t>
  </si>
  <si>
    <t>Indirect cost base ($)</t>
  </si>
  <si>
    <t>G&amp;A - Total Cost Input</t>
  </si>
  <si>
    <t>Total Indirect Costs</t>
  </si>
  <si>
    <t>I. Total Direct and Indirect Costs</t>
  </si>
  <si>
    <t>Total Direct and Indirect Institutional Costs (G+H)</t>
  </si>
  <si>
    <t>J. Fee % =</t>
  </si>
  <si>
    <t>7% is maximum</t>
  </si>
  <si>
    <t>K. Total Requested Funds</t>
  </si>
  <si>
    <t>Check Budget against New LOE Worksheet</t>
  </si>
  <si>
    <t>Indirect rates metric from DOE SBIR/STTR Guide</t>
  </si>
  <si>
    <t>If the applicant organization proposes indirect costs plus fringe benefits that does not exceed 50% of direct salaries and wages, no documentation is required.</t>
  </si>
  <si>
    <t>Fringe costs</t>
  </si>
  <si>
    <t>Direct wages</t>
  </si>
  <si>
    <t>Ratio</t>
  </si>
  <si>
    <t>SBIR</t>
  </si>
  <si>
    <t>A.  Total Requested Funds:  K</t>
  </si>
  <si>
    <t>B.  Funding for Consultants &amp; Subawards:  F3 + F5 + F8-10 (for third parties)</t>
  </si>
  <si>
    <t>Small business level of effort = (A-B)/A</t>
  </si>
  <si>
    <t>Requirement:  ≥ 66.7% for Phase I; ≥ 50% for Phase II</t>
  </si>
  <si>
    <t>STTR</t>
  </si>
  <si>
    <t>C.  Total Requested Funds:  K</t>
  </si>
  <si>
    <t>D.  Research Institution Subaward:  amount of F5 for Research Institution</t>
  </si>
  <si>
    <t>E.  Funding for Consultants &amp; Other Subawards:  F3 + F5 (not including Research Institution) + F8-10 (for third parties)</t>
  </si>
  <si>
    <r>
      <rPr>
        <b/>
        <sz val="11"/>
        <rFont val="Calibri"/>
        <family val="2"/>
        <scheme val="minor"/>
      </rPr>
      <t>Small business level of effort</t>
    </r>
    <r>
      <rPr>
        <sz val="11"/>
        <rFont val="Calibri"/>
        <family val="2"/>
        <scheme val="minor"/>
      </rPr>
      <t xml:space="preserve"> = (C-D-E)/C</t>
    </r>
  </si>
  <si>
    <t>Requirement:  ≥ 40% for Phase I &amp; II</t>
  </si>
  <si>
    <r>
      <rPr>
        <b/>
        <sz val="11"/>
        <rFont val="Calibri"/>
        <family val="2"/>
        <scheme val="minor"/>
      </rPr>
      <t>Research Institution level of effort</t>
    </r>
    <r>
      <rPr>
        <sz val="11"/>
        <rFont val="Calibri"/>
        <family val="2"/>
        <scheme val="minor"/>
      </rPr>
      <t xml:space="preserve"> = D/C</t>
    </r>
  </si>
  <si>
    <t>Requirement:  ≥ 30% for Phase I &amp; II</t>
  </si>
  <si>
    <t>Reflects FOA DE-FOA-0002146 Amendment 2</t>
  </si>
  <si>
    <t>DOE SBIR/STTR Level of Effort Requirements</t>
  </si>
  <si>
    <t>KEY</t>
  </si>
  <si>
    <t xml:space="preserve">Program: </t>
  </si>
  <si>
    <t>Data Entry Field</t>
  </si>
  <si>
    <t xml:space="preserve">Phase: </t>
  </si>
  <si>
    <t>Phase I</t>
  </si>
  <si>
    <t>Calculated Field</t>
  </si>
  <si>
    <t>A.  Total Requested Funds, Section K:</t>
  </si>
  <si>
    <t>Requirement met?</t>
  </si>
  <si>
    <t xml:space="preserve"> Requirement</t>
  </si>
  <si>
    <t>Maximum Funding Request Requirements</t>
  </si>
  <si>
    <t>Funds Requested for TABA Vendor:</t>
  </si>
  <si>
    <t xml:space="preserve">Maximum Award Amount for Topic (see Topics Document): </t>
  </si>
  <si>
    <t>Notes:</t>
  </si>
  <si>
    <t xml:space="preserve">(1) Each field in the LOE Input Section corresponds to the referenced field in the Grants.gov Budget Form completed by the Small Business. 
(2) Fields F8 through F10 of the budget form are for "Other". Third party (e.g. consultants, sub award, TABA) should be included. Non-third party funds (e.g. tuition assistance, lab renovations) should not be included.
</t>
  </si>
  <si>
    <t>Rev 4_1_22</t>
  </si>
  <si>
    <t>Travel Basis of Estimate Worksheet</t>
  </si>
  <si>
    <t>Per Diem</t>
  </si>
  <si>
    <t>Origin</t>
  </si>
  <si>
    <t>Destination</t>
  </si>
  <si>
    <t>Justification</t>
  </si>
  <si>
    <t>Date</t>
  </si>
  <si>
    <t>QTY Trips</t>
  </si>
  <si>
    <t>QTY People</t>
  </si>
  <si>
    <t>Days</t>
  </si>
  <si>
    <t>Lodging</t>
  </si>
  <si>
    <t>M&amp;IE</t>
  </si>
  <si>
    <t>Airfare</t>
  </si>
  <si>
    <t>Extended Cost</t>
  </si>
  <si>
    <t>Your City/State</t>
  </si>
  <si>
    <t>University</t>
  </si>
  <si>
    <t>PI visit to RI</t>
  </si>
  <si>
    <t>Month 2, Month 5, Month 8</t>
  </si>
  <si>
    <t>Washington DC</t>
  </si>
  <si>
    <t>CEO take part to the PI meeting</t>
  </si>
  <si>
    <t>Month 4</t>
  </si>
  <si>
    <t>PI take part to the PI meeting</t>
  </si>
  <si>
    <t>Airfare should be lowest available coach fare (with few exceptions).</t>
  </si>
  <si>
    <t xml:space="preserve">Use per diem rates for hotel, meals &amp; incidentals from the GSA website </t>
  </si>
  <si>
    <t xml:space="preserve">http://www.gsa.gov/portal/content/104877  </t>
  </si>
  <si>
    <t>Airfare - https://www.gsaflights.com/city-pairs</t>
  </si>
  <si>
    <t>Train - Travelers must use economy or coach accommodations when booking travel by rail</t>
  </si>
  <si>
    <t>Rail | Defense Travel Management Office (dod.mil)</t>
  </si>
  <si>
    <t xml:space="preserve">Version: Baseline </t>
  </si>
  <si>
    <t>Material Basis of Estimate</t>
  </si>
  <si>
    <t>Bill of Material</t>
  </si>
  <si>
    <t>QTY</t>
  </si>
  <si>
    <t>Unit Price</t>
  </si>
  <si>
    <t>Total Price</t>
  </si>
  <si>
    <t>Source</t>
  </si>
  <si>
    <t>BOE</t>
  </si>
  <si>
    <t>Part 1</t>
  </si>
  <si>
    <t>Q</t>
  </si>
  <si>
    <t>Part 2</t>
  </si>
  <si>
    <t>O</t>
  </si>
  <si>
    <t>Part 3</t>
  </si>
  <si>
    <t>Part 4</t>
  </si>
  <si>
    <t>Part 5</t>
  </si>
  <si>
    <t>Part 6</t>
  </si>
  <si>
    <t>Part 7</t>
  </si>
  <si>
    <t>Part 8</t>
  </si>
  <si>
    <t>Part 9</t>
  </si>
  <si>
    <t>Part 10</t>
  </si>
  <si>
    <t>Part 11</t>
  </si>
  <si>
    <t>Consumables for manufactuirng</t>
  </si>
  <si>
    <t>S</t>
  </si>
  <si>
    <t>Total Material</t>
  </si>
  <si>
    <t>Legend</t>
  </si>
  <si>
    <t>C = Catalog price</t>
  </si>
  <si>
    <t>Q = Quotation</t>
  </si>
  <si>
    <t>S = Based on similar pricing</t>
  </si>
  <si>
    <t>O = Online</t>
  </si>
  <si>
    <t>DOL/BLS stats - https://www.bls.gov/oes/current/oes_nat.htm#11-0000</t>
  </si>
  <si>
    <t>- Management Occupations (11-0000)</t>
  </si>
  <si>
    <t>- Computer and Mathematical Occupations (15-0000)</t>
  </si>
  <si>
    <t>- Architecture and Engineering Occupations (17-0000)</t>
  </si>
  <si>
    <t>- Life, Physical, and Social Science Occupations (19-0000)   </t>
  </si>
  <si>
    <t>Other acceptable sources:</t>
  </si>
  <si>
    <t>On-line salary surveys - salary.com, Glassdoor.com, payscale.com</t>
  </si>
  <si>
    <t>Professional salary surveys</t>
  </si>
  <si>
    <t>Organization salary surveys</t>
  </si>
  <si>
    <t>Any other reputable HR resource (PTAC, SBDC…)</t>
  </si>
  <si>
    <t>Historical wages</t>
  </si>
  <si>
    <t>https://www.moneyunder30.com/best-salary-information-websites</t>
  </si>
  <si>
    <r>
      <rPr>
        <b/>
        <sz val="12"/>
        <color theme="1"/>
        <rFont val="Calibri"/>
        <family val="2"/>
        <scheme val="minor"/>
      </rPr>
      <t xml:space="preserve">Objective: </t>
    </r>
    <r>
      <rPr>
        <sz val="12"/>
        <color theme="1"/>
        <rFont val="Calibri"/>
        <family val="2"/>
        <scheme val="minor"/>
      </rPr>
      <t>To calculate the minimum and maximum amount allowed for SBIR/STTR subrecipients</t>
    </r>
  </si>
  <si>
    <t>Variables and Limitations</t>
  </si>
  <si>
    <t xml:space="preserve">2. STTR: By regulation, the small business has to perform a minimum of 40% of the effort, </t>
  </si>
  <si>
    <t>the single STTR partner a minimum of 30%.</t>
  </si>
  <si>
    <t>3. Phase I grant limits are either $200,000 or $250,000.</t>
  </si>
  <si>
    <t>4. Grants limits can be $6,500 higher if using a 3rd party commercialization vendor (TABA).</t>
  </si>
  <si>
    <t>Case 1a: $200,000 grant limit</t>
  </si>
  <si>
    <t>Case 1b: $206,500 grant limit</t>
  </si>
  <si>
    <t>SBIR Case</t>
  </si>
  <si>
    <t>Small Bus Min</t>
  </si>
  <si>
    <t>Sub Max</t>
  </si>
  <si>
    <t>Sub</t>
  </si>
  <si>
    <t>TABA</t>
  </si>
  <si>
    <t>Budget</t>
  </si>
  <si>
    <t>STTR Case</t>
  </si>
  <si>
    <t>Small Bus Max</t>
  </si>
  <si>
    <t>Sub Min</t>
  </si>
  <si>
    <t>SBIR_STTR combo</t>
  </si>
  <si>
    <t>Case 2a: $250,000 grant limit</t>
  </si>
  <si>
    <t>Case 2a: $256,500 grant limit</t>
  </si>
  <si>
    <t>Narrative for $200,000 grants</t>
  </si>
  <si>
    <t>Narrative for $206,500 grants</t>
  </si>
  <si>
    <t>For an SBIR, the small business budget has to be a minimum of $133,335.</t>
  </si>
  <si>
    <t>For an SBIR, the small business budget has to be a minimum of $137,669.</t>
  </si>
  <si>
    <t>For an SBIR, the subrecipient budget has to be a maximum of $66,665.</t>
  </si>
  <si>
    <t>For an SBIR, the subrecipient budget has to be a maximum of $68,831.</t>
  </si>
  <si>
    <t>For an STTR, the small business budget can be in the range of $80,000 - $140,000.</t>
  </si>
  <si>
    <t>For an STTR, the small business budget can be in the range of $82,600 - $1444,550.</t>
  </si>
  <si>
    <t>For an STTR, the subrecipient budget can be in the range of $60,000 - $120,000.</t>
  </si>
  <si>
    <t>For an STTR, the subrecipient budget can be in the range of $61,950 - $123,900.</t>
  </si>
  <si>
    <t>For combo SBIR/STTR, the small business budget can be in the range of $133,335 - $140,000.</t>
  </si>
  <si>
    <t>For combo SBIR/STTR, the small business budget can be in the range of $$137,669 - $144,550.</t>
  </si>
  <si>
    <t>For combo SBIR/STTR, the subrecipient budget can be in the range of $60,000 - $66,665.</t>
  </si>
  <si>
    <t>For combo SBIR/STTR, the subrecipient budget can be in the range of $61,950 - $68,831.</t>
  </si>
  <si>
    <t>Narrative for $250,000 grants</t>
  </si>
  <si>
    <t>For an SBIR, the small business budget has to be a minimum of $166,667.</t>
  </si>
  <si>
    <t>For an SBIR, the small business budget has to be a minimum of $171,000.</t>
  </si>
  <si>
    <t>For an SBIR, the subrecipient share has to be a maximum of $83,333.</t>
  </si>
  <si>
    <t>For an SBIR, the subrecipient share has to be a maximum of $85,550.</t>
  </si>
  <si>
    <t>For an STTR, the small business budget can be in the range of $100,000 - $175,000.</t>
  </si>
  <si>
    <t>For an STTR, the small business budget can be in the range of $102,600 - $179,550.</t>
  </si>
  <si>
    <t>For an STTR, the subrecipient budget can be in the range of $75,000 - $150,000.</t>
  </si>
  <si>
    <t>For an STTR, the subrecipient budget can be in the range of $76,950 - $153,000.</t>
  </si>
  <si>
    <t>For combo SBIR/STTR, the small business budget can be in the range of $166,667 - $175,000.</t>
  </si>
  <si>
    <t>For combo SBIR/STTR, the small business budget can be in the range of $171,000 - $179,550.</t>
  </si>
  <si>
    <t>For combo SBIR/STTR, the subrecipient budget can be in the range of $75,000 - $83,333.</t>
  </si>
  <si>
    <t>For combo SBIR/STTR, the subrecipient budget can be in the range of $76,950 - $85,550.</t>
  </si>
  <si>
    <t>Warning:</t>
  </si>
  <si>
    <t xml:space="preserve">This is for initial subrecipient budget planning purposes only. Be aware that the DOE uses its LOE worksheet to score the budget workshare. </t>
  </si>
  <si>
    <t>Consultants and "other subawards" also do not count toward the small business workshare.</t>
  </si>
  <si>
    <t>The final budget should be evaluated against this LOE worksheet (see tab to the left).</t>
  </si>
  <si>
    <t>Subrecipient budgets may have to be adjusted downward depending on the LOE worksheet score.</t>
  </si>
  <si>
    <t>Additional Budget Resources</t>
  </si>
  <si>
    <t>DOE SBIR/STTR Application Guide - Budget Items</t>
  </si>
  <si>
    <t>ReliAscent DOE SBIR/STTR Budget Dashboard</t>
  </si>
  <si>
    <t>1. SBIR: By regulation, the small business has to conduct 2/3 of the effort.</t>
  </si>
  <si>
    <t>Getting Started Video</t>
  </si>
  <si>
    <t>Budget Video</t>
  </si>
  <si>
    <t>Budget Justification Video</t>
  </si>
  <si>
    <t>Indirect Rate Model Video</t>
  </si>
  <si>
    <t>Resources Folder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</si>
</sst>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_(* #,##0.0_);_(* \(#,##0.0\);_(* &quot;-&quot;??_);_(@_)"/>
    <numFmt numFmtId="165" formatCode="_(* #,##0_);_(* \(#,##0\);_(* &quot;-&quot;??_);_(@_)"/>
    <numFmt numFmtId="166" formatCode="0.0"/>
    <numFmt numFmtId="167" formatCode="&quot;$&quot;#,##0.00"/>
    <numFmt numFmtId="168" formatCode="&quot;$&quot;#,##0"/>
    <numFmt numFmtId="169" formatCode="0.0%"/>
  </numFmts>
  <fonts count="39">
    <font>
      <sz val="11"/>
      <color theme="1"/>
      <name val="Calibri"/>
      <family val="2"/>
      <scheme val="minor"/>
    </font>
    <font>
      <sz val="11"/>
      <color theme="1"/>
      <name val="Calibri"/>
      <family val="2"/>
      <scheme val="minor"/>
    </font>
    <font>
      <b/>
      <sz val="11"/>
      <color theme="1"/>
      <name val="Calibri"/>
      <family val="2"/>
      <scheme val="minor"/>
    </font>
    <font>
      <b/>
      <sz val="10"/>
      <color theme="1"/>
      <name val="Arial Narrow"/>
      <family val="2"/>
    </font>
    <font>
      <sz val="10"/>
      <color theme="1"/>
      <name val="Arial Narrow"/>
      <family val="2"/>
    </font>
    <font>
      <sz val="10"/>
      <color rgb="FF000000"/>
      <name val="Arial Narrow"/>
      <family val="2"/>
    </font>
    <font>
      <sz val="8"/>
      <name val="Arial"/>
      <family val="2"/>
    </font>
    <font>
      <sz val="9"/>
      <color indexed="81"/>
      <name val="Tahoma"/>
      <family val="2"/>
    </font>
    <font>
      <b/>
      <sz val="8"/>
      <name val="Arial"/>
      <family val="2"/>
    </font>
    <font>
      <sz val="10"/>
      <name val="Arial"/>
      <family val="2"/>
    </font>
    <font>
      <sz val="10"/>
      <name val="Geneva"/>
    </font>
    <font>
      <b/>
      <sz val="10"/>
      <name val="Geneva"/>
    </font>
    <font>
      <sz val="10"/>
      <color theme="1"/>
      <name val="Arial"/>
      <family val="2"/>
    </font>
    <font>
      <b/>
      <sz val="10"/>
      <name val="Arial"/>
      <family val="2"/>
    </font>
    <font>
      <u/>
      <sz val="11"/>
      <color theme="10"/>
      <name val="Calibri"/>
      <family val="2"/>
      <scheme val="minor"/>
    </font>
    <font>
      <sz val="11"/>
      <color rgb="FFFF0000"/>
      <name val="Calibri"/>
      <family val="2"/>
      <scheme val="minor"/>
    </font>
    <font>
      <b/>
      <sz val="11"/>
      <color theme="0"/>
      <name val="Calibri"/>
      <family val="2"/>
      <scheme val="minor"/>
    </font>
    <font>
      <sz val="11"/>
      <color theme="0"/>
      <name val="Calibri"/>
      <family val="2"/>
      <scheme val="minor"/>
    </font>
    <font>
      <sz val="10"/>
      <name val="Calibri"/>
      <family val="2"/>
      <scheme val="minor"/>
    </font>
    <font>
      <sz val="11"/>
      <name val="Calibri"/>
      <family val="2"/>
      <scheme val="minor"/>
    </font>
    <font>
      <b/>
      <sz val="11"/>
      <name val="Calibri"/>
      <family val="2"/>
      <scheme val="minor"/>
    </font>
    <font>
      <i/>
      <sz val="11"/>
      <name val="Calibri"/>
      <family val="2"/>
      <scheme val="minor"/>
    </font>
    <font>
      <sz val="12"/>
      <color theme="1"/>
      <name val="Calibri"/>
      <family val="2"/>
      <scheme val="minor"/>
    </font>
    <font>
      <b/>
      <sz val="12"/>
      <color theme="1"/>
      <name val="Calibri"/>
      <family val="2"/>
      <scheme val="minor"/>
    </font>
    <font>
      <b/>
      <sz val="10"/>
      <color theme="0" tint="-0.499984740745262"/>
      <name val="Arial Narrow"/>
      <family val="2"/>
    </font>
    <font>
      <sz val="10"/>
      <color theme="0" tint="-0.499984740745262"/>
      <name val="Arial Narrow"/>
      <family val="2"/>
    </font>
    <font>
      <b/>
      <sz val="11.5"/>
      <color theme="1"/>
      <name val="Calibri"/>
      <family val="2"/>
      <scheme val="minor"/>
    </font>
    <font>
      <b/>
      <sz val="11"/>
      <color rgb="FFFF0000"/>
      <name val="Calibri"/>
      <family val="2"/>
      <scheme val="minor"/>
    </font>
    <font>
      <b/>
      <sz val="14"/>
      <name val="Geneva"/>
    </font>
    <font>
      <sz val="14"/>
      <name val="Arial"/>
      <family val="2"/>
    </font>
    <font>
      <sz val="14"/>
      <name val="Geneva"/>
    </font>
    <font>
      <b/>
      <sz val="14"/>
      <color theme="0"/>
      <name val="Calibri"/>
      <family val="2"/>
      <scheme val="minor"/>
    </font>
    <font>
      <sz val="10"/>
      <color rgb="FFFF0000"/>
      <name val="Arial"/>
      <family val="2"/>
    </font>
    <font>
      <b/>
      <sz val="14"/>
      <color theme="1"/>
      <name val="Arial Narrow"/>
      <family val="2"/>
    </font>
    <font>
      <sz val="14"/>
      <color rgb="FFFF0000"/>
      <name val="Calibri"/>
      <family val="2"/>
      <scheme val="minor"/>
    </font>
    <font>
      <u/>
      <sz val="9"/>
      <color theme="10"/>
      <name val="Calibri"/>
      <family val="2"/>
      <scheme val="minor"/>
    </font>
    <font>
      <sz val="9"/>
      <color theme="1"/>
      <name val="Calibri"/>
      <family val="2"/>
      <scheme val="minor"/>
    </font>
    <font>
      <b/>
      <sz val="9"/>
      <color theme="1"/>
      <name val="Calibri"/>
      <family val="2"/>
      <scheme val="minor"/>
    </font>
    <font>
      <sz val="9"/>
      <color theme="1"/>
      <name val="Times New Roman"/>
      <family val="1"/>
    </font>
  </fonts>
  <fills count="9">
    <fill>
      <patternFill patternType="none"/>
    </fill>
    <fill>
      <patternFill patternType="gray125"/>
    </fill>
    <fill>
      <patternFill patternType="solid">
        <fgColor theme="4" tint="0.79998168889431442"/>
        <bgColor indexed="64"/>
      </patternFill>
    </fill>
    <fill>
      <patternFill patternType="solid">
        <fgColor theme="1"/>
        <bgColor indexed="64"/>
      </patternFill>
    </fill>
    <fill>
      <patternFill patternType="solid">
        <fgColor rgb="FFFFFF00"/>
        <bgColor indexed="64"/>
      </patternFill>
    </fill>
    <fill>
      <patternFill patternType="solid">
        <fgColor theme="0"/>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0" tint="-4.9989318521683403E-2"/>
        <bgColor indexed="64"/>
      </patternFill>
    </fill>
  </fills>
  <borders count="18">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xf numFmtId="0" fontId="10" fillId="0" borderId="0" applyProtection="0"/>
    <xf numFmtId="8" fontId="10" fillId="0" borderId="0" applyFont="0" applyFill="0" applyBorder="0" applyAlignment="0" applyProtection="0"/>
    <xf numFmtId="0" fontId="14" fillId="0" borderId="0" applyNumberFormat="0" applyFill="0" applyBorder="0" applyAlignment="0" applyProtection="0"/>
    <xf numFmtId="44" fontId="1"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cellStyleXfs>
  <cellXfs count="219">
    <xf numFmtId="0" fontId="0" fillId="0" borderId="0" xfId="0"/>
    <xf numFmtId="0" fontId="2" fillId="0" borderId="0" xfId="0" applyFont="1"/>
    <xf numFmtId="43" fontId="0" fillId="0" borderId="0" xfId="0" applyNumberFormat="1"/>
    <xf numFmtId="0" fontId="2" fillId="0" borderId="0" xfId="0" applyFont="1" applyAlignment="1">
      <alignment horizontal="right"/>
    </xf>
    <xf numFmtId="0" fontId="0" fillId="2" borderId="0" xfId="0" applyFill="1"/>
    <xf numFmtId="0" fontId="3" fillId="0" borderId="0" xfId="0" applyFont="1" applyAlignment="1" applyProtection="1">
      <alignment wrapText="1"/>
      <protection locked="0"/>
    </xf>
    <xf numFmtId="0" fontId="3" fillId="0" borderId="2" xfId="0" applyFont="1" applyBorder="1" applyAlignment="1" applyProtection="1">
      <alignment wrapText="1"/>
      <protection locked="0"/>
    </xf>
    <xf numFmtId="0" fontId="4" fillId="0" borderId="0" xfId="0" applyFont="1" applyAlignment="1" applyProtection="1">
      <alignment horizontal="center"/>
      <protection locked="0"/>
    </xf>
    <xf numFmtId="0" fontId="4" fillId="0" borderId="2" xfId="0" applyFont="1" applyBorder="1" applyProtection="1">
      <protection locked="0"/>
    </xf>
    <xf numFmtId="4" fontId="4" fillId="0" borderId="2" xfId="0" applyNumberFormat="1" applyFont="1" applyBorder="1" applyProtection="1">
      <protection locked="0"/>
    </xf>
    <xf numFmtId="0" fontId="4" fillId="0" borderId="2" xfId="0" applyFont="1" applyBorder="1" applyAlignment="1" applyProtection="1">
      <alignment horizontal="center"/>
      <protection locked="0"/>
    </xf>
    <xf numFmtId="0" fontId="4" fillId="0" borderId="0" xfId="0" applyFont="1" applyProtection="1">
      <protection locked="0"/>
    </xf>
    <xf numFmtId="0" fontId="3" fillId="0" borderId="0" xfId="0" applyFont="1" applyProtection="1">
      <protection locked="0"/>
    </xf>
    <xf numFmtId="0" fontId="6" fillId="0" borderId="0" xfId="0" applyFont="1" applyAlignment="1" applyProtection="1">
      <alignment wrapText="1"/>
      <protection locked="0"/>
    </xf>
    <xf numFmtId="0" fontId="0" fillId="0" borderId="0" xfId="0" applyProtection="1">
      <protection locked="0"/>
    </xf>
    <xf numFmtId="165" fontId="0" fillId="2" borderId="0" xfId="1" applyNumberFormat="1" applyFont="1" applyFill="1" applyProtection="1">
      <protection locked="0"/>
    </xf>
    <xf numFmtId="0" fontId="4" fillId="2" borderId="2" xfId="0" applyFont="1" applyFill="1" applyBorder="1" applyAlignment="1" applyProtection="1">
      <alignment horizontal="center"/>
      <protection locked="0"/>
    </xf>
    <xf numFmtId="0" fontId="4" fillId="2" borderId="2" xfId="0" applyFont="1" applyFill="1" applyBorder="1" applyProtection="1">
      <protection locked="0"/>
    </xf>
    <xf numFmtId="0" fontId="3" fillId="0" borderId="0" xfId="0" applyFont="1" applyAlignment="1" applyProtection="1">
      <alignment horizontal="right"/>
      <protection locked="0"/>
    </xf>
    <xf numFmtId="4" fontId="4" fillId="0" borderId="0" xfId="0" applyNumberFormat="1" applyFont="1" applyProtection="1">
      <protection locked="0"/>
    </xf>
    <xf numFmtId="0" fontId="4" fillId="0" borderId="0" xfId="0" applyFont="1" applyAlignment="1" applyProtection="1">
      <alignment wrapText="1"/>
      <protection locked="0"/>
    </xf>
    <xf numFmtId="0" fontId="8" fillId="0" borderId="0" xfId="0" applyFont="1" applyAlignment="1" applyProtection="1">
      <alignment horizontal="center" wrapText="1"/>
      <protection locked="0"/>
    </xf>
    <xf numFmtId="4" fontId="3" fillId="2" borderId="2" xfId="0" applyNumberFormat="1" applyFont="1" applyFill="1" applyBorder="1" applyProtection="1">
      <protection locked="0"/>
    </xf>
    <xf numFmtId="0" fontId="3" fillId="0" borderId="0" xfId="0" applyFont="1" applyAlignment="1" applyProtection="1">
      <alignment horizontal="center"/>
      <protection locked="0"/>
    </xf>
    <xf numFmtId="10" fontId="3" fillId="2" borderId="0" xfId="2" applyNumberFormat="1" applyFont="1" applyFill="1" applyProtection="1">
      <protection locked="0"/>
    </xf>
    <xf numFmtId="0" fontId="0" fillId="0" borderId="14" xfId="0" applyBorder="1"/>
    <xf numFmtId="0" fontId="2" fillId="0" borderId="3" xfId="0" applyFont="1" applyBorder="1" applyAlignment="1">
      <alignment horizontal="right"/>
    </xf>
    <xf numFmtId="0" fontId="0" fillId="0" borderId="4" xfId="0" applyBorder="1"/>
    <xf numFmtId="10" fontId="0" fillId="2" borderId="4" xfId="2" applyNumberFormat="1" applyFont="1" applyFill="1" applyBorder="1"/>
    <xf numFmtId="0" fontId="2" fillId="0" borderId="12" xfId="0" applyFont="1" applyBorder="1"/>
    <xf numFmtId="0" fontId="0" fillId="0" borderId="9" xfId="0" applyBorder="1"/>
    <xf numFmtId="0" fontId="2" fillId="0" borderId="13" xfId="0" applyFont="1" applyBorder="1"/>
    <xf numFmtId="0" fontId="2" fillId="0" borderId="12" xfId="0" applyFont="1" applyBorder="1" applyAlignment="1">
      <alignment horizontal="right"/>
    </xf>
    <xf numFmtId="0" fontId="0" fillId="0" borderId="11" xfId="0" applyBorder="1"/>
    <xf numFmtId="0" fontId="5" fillId="2" borderId="2" xfId="0" applyFont="1" applyFill="1" applyBorder="1" applyProtection="1">
      <protection locked="0"/>
    </xf>
    <xf numFmtId="0" fontId="11" fillId="0" borderId="0" xfId="4" applyFont="1"/>
    <xf numFmtId="0" fontId="10" fillId="0" borderId="0" xfId="4"/>
    <xf numFmtId="0" fontId="11" fillId="0" borderId="0" xfId="4" applyFont="1" applyAlignment="1">
      <alignment horizontal="center"/>
    </xf>
    <xf numFmtId="167" fontId="11" fillId="0" borderId="0" xfId="4" applyNumberFormat="1" applyFont="1"/>
    <xf numFmtId="0" fontId="12" fillId="0" borderId="0" xfId="0" applyFont="1" applyAlignment="1">
      <alignment vertical="center"/>
    </xf>
    <xf numFmtId="0" fontId="11" fillId="0" borderId="0" xfId="4" applyFont="1" applyAlignment="1">
      <alignment horizontal="right"/>
    </xf>
    <xf numFmtId="5" fontId="11" fillId="0" borderId="0" xfId="1" applyNumberFormat="1" applyFont="1" applyAlignment="1">
      <alignment horizontal="right"/>
    </xf>
    <xf numFmtId="0" fontId="10" fillId="0" borderId="0" xfId="4" applyAlignment="1">
      <alignment horizontal="right"/>
    </xf>
    <xf numFmtId="0" fontId="13" fillId="0" borderId="0" xfId="4" applyFont="1"/>
    <xf numFmtId="0" fontId="10" fillId="2" borderId="0" xfId="0" applyFont="1" applyFill="1"/>
    <xf numFmtId="0" fontId="10" fillId="2" borderId="0" xfId="4" applyFill="1"/>
    <xf numFmtId="43" fontId="10" fillId="2" borderId="0" xfId="1" applyFont="1" applyFill="1"/>
    <xf numFmtId="7" fontId="10" fillId="2" borderId="0" xfId="1" applyNumberFormat="1" applyFont="1" applyFill="1"/>
    <xf numFmtId="0" fontId="10" fillId="2" borderId="0" xfId="4" applyFill="1" applyAlignment="1">
      <alignment horizontal="center"/>
    </xf>
    <xf numFmtId="0" fontId="10" fillId="2" borderId="0" xfId="0" applyFont="1" applyFill="1" applyAlignment="1">
      <alignment horizontal="center" vertical="top" wrapText="1"/>
    </xf>
    <xf numFmtId="6" fontId="0" fillId="0" borderId="0" xfId="0" applyNumberFormat="1"/>
    <xf numFmtId="167" fontId="0" fillId="0" borderId="0" xfId="0" applyNumberFormat="1"/>
    <xf numFmtId="43" fontId="0" fillId="0" borderId="0" xfId="1" applyFont="1"/>
    <xf numFmtId="0" fontId="14" fillId="0" borderId="0" xfId="6"/>
    <xf numFmtId="0" fontId="18" fillId="0" borderId="0" xfId="3" applyFont="1"/>
    <xf numFmtId="0" fontId="9" fillId="0" borderId="0" xfId="3"/>
    <xf numFmtId="0" fontId="16" fillId="3" borderId="0" xfId="3" applyFont="1" applyFill="1"/>
    <xf numFmtId="0" fontId="17" fillId="3" borderId="0" xfId="3" applyFont="1" applyFill="1"/>
    <xf numFmtId="0" fontId="19" fillId="0" borderId="2" xfId="3" applyFont="1" applyBorder="1"/>
    <xf numFmtId="168" fontId="19" fillId="0" borderId="2" xfId="3" applyNumberFormat="1" applyFont="1" applyBorder="1"/>
    <xf numFmtId="0" fontId="19" fillId="0" borderId="10" xfId="3" applyFont="1" applyBorder="1" applyAlignment="1">
      <alignment horizontal="left" vertical="top" wrapText="1"/>
    </xf>
    <xf numFmtId="168" fontId="19" fillId="0" borderId="10" xfId="3" applyNumberFormat="1" applyFont="1" applyBorder="1"/>
    <xf numFmtId="0" fontId="19" fillId="0" borderId="5" xfId="3" applyFont="1" applyBorder="1" applyAlignment="1">
      <alignment wrapText="1"/>
    </xf>
    <xf numFmtId="0" fontId="21" fillId="4" borderId="5" xfId="3" applyFont="1" applyFill="1" applyBorder="1" applyAlignment="1">
      <alignment wrapText="1"/>
    </xf>
    <xf numFmtId="0" fontId="19" fillId="0" borderId="0" xfId="3" applyFont="1" applyAlignment="1">
      <alignment wrapText="1"/>
    </xf>
    <xf numFmtId="9" fontId="19" fillId="0" borderId="0" xfId="8" applyFont="1" applyAlignment="1">
      <alignment horizontal="center"/>
    </xf>
    <xf numFmtId="168" fontId="19" fillId="0" borderId="2" xfId="9" applyNumberFormat="1" applyFont="1" applyBorder="1" applyAlignment="1">
      <alignment horizontal="right"/>
    </xf>
    <xf numFmtId="0" fontId="19" fillId="0" borderId="2" xfId="3" applyFont="1" applyBorder="1" applyAlignment="1">
      <alignment wrapText="1"/>
    </xf>
    <xf numFmtId="168" fontId="19" fillId="0" borderId="10" xfId="9" applyNumberFormat="1" applyFont="1" applyBorder="1" applyAlignment="1">
      <alignment horizontal="right"/>
    </xf>
    <xf numFmtId="0" fontId="19" fillId="0" borderId="5" xfId="3" applyFont="1" applyBorder="1"/>
    <xf numFmtId="0" fontId="21" fillId="4" borderId="5" xfId="3" applyFont="1" applyFill="1" applyBorder="1"/>
    <xf numFmtId="0" fontId="9" fillId="0" borderId="0" xfId="3" applyAlignment="1">
      <alignment horizontal="center" vertical="center"/>
    </xf>
    <xf numFmtId="0" fontId="14" fillId="0" borderId="0" xfId="6" applyProtection="1">
      <protection locked="0"/>
    </xf>
    <xf numFmtId="0" fontId="22" fillId="0" borderId="0" xfId="0" applyFont="1"/>
    <xf numFmtId="0" fontId="23" fillId="0" borderId="0" xfId="0" applyFont="1"/>
    <xf numFmtId="165" fontId="0" fillId="0" borderId="0" xfId="1" applyNumberFormat="1" applyFont="1"/>
    <xf numFmtId="165" fontId="0" fillId="0" borderId="0" xfId="0" applyNumberFormat="1"/>
    <xf numFmtId="0" fontId="24" fillId="0" borderId="0" xfId="0" applyFont="1" applyProtection="1">
      <protection locked="0"/>
    </xf>
    <xf numFmtId="4" fontId="24" fillId="0" borderId="0" xfId="0" applyNumberFormat="1" applyFont="1" applyProtection="1">
      <protection locked="0"/>
    </xf>
    <xf numFmtId="0" fontId="25" fillId="0" borderId="5" xfId="0" applyFont="1" applyBorder="1" applyProtection="1">
      <protection locked="0"/>
    </xf>
    <xf numFmtId="0" fontId="25" fillId="0" borderId="6" xfId="0" applyFont="1" applyBorder="1" applyProtection="1">
      <protection locked="0"/>
    </xf>
    <xf numFmtId="0" fontId="25" fillId="0" borderId="7" xfId="0" applyFont="1" applyBorder="1" applyProtection="1">
      <protection locked="0"/>
    </xf>
    <xf numFmtId="4" fontId="25" fillId="2" borderId="2" xfId="0" applyNumberFormat="1" applyFont="1" applyFill="1" applyBorder="1" applyProtection="1">
      <protection locked="0"/>
    </xf>
    <xf numFmtId="0" fontId="25" fillId="0" borderId="0" xfId="0" applyFont="1" applyProtection="1">
      <protection locked="0"/>
    </xf>
    <xf numFmtId="0" fontId="25" fillId="0" borderId="8" xfId="0" applyFont="1" applyBorder="1" applyProtection="1">
      <protection locked="0"/>
    </xf>
    <xf numFmtId="4" fontId="24" fillId="0" borderId="2" xfId="0" applyNumberFormat="1" applyFont="1" applyBorder="1" applyProtection="1">
      <protection locked="0"/>
    </xf>
    <xf numFmtId="3" fontId="4" fillId="2" borderId="2" xfId="0" applyNumberFormat="1" applyFont="1" applyFill="1" applyBorder="1" applyProtection="1">
      <protection locked="0"/>
    </xf>
    <xf numFmtId="3" fontId="4" fillId="0" borderId="2" xfId="0" applyNumberFormat="1" applyFont="1" applyBorder="1" applyProtection="1">
      <protection locked="0"/>
    </xf>
    <xf numFmtId="3" fontId="3" fillId="2" borderId="2" xfId="0" applyNumberFormat="1" applyFont="1" applyFill="1" applyBorder="1" applyProtection="1">
      <protection locked="0"/>
    </xf>
    <xf numFmtId="165" fontId="0" fillId="2" borderId="11" xfId="1" applyNumberFormat="1" applyFont="1" applyFill="1" applyBorder="1"/>
    <xf numFmtId="165" fontId="0" fillId="0" borderId="0" xfId="1" applyNumberFormat="1" applyFont="1" applyBorder="1"/>
    <xf numFmtId="165" fontId="0" fillId="0" borderId="1" xfId="1" applyNumberFormat="1" applyFont="1" applyBorder="1"/>
    <xf numFmtId="165" fontId="0" fillId="2" borderId="0" xfId="1" applyNumberFormat="1" applyFont="1" applyFill="1" applyBorder="1"/>
    <xf numFmtId="165" fontId="0" fillId="2" borderId="1" xfId="1" applyNumberFormat="1" applyFont="1" applyFill="1" applyBorder="1"/>
    <xf numFmtId="165" fontId="0" fillId="0" borderId="1" xfId="0" applyNumberFormat="1" applyBorder="1"/>
    <xf numFmtId="10" fontId="0" fillId="0" borderId="0" xfId="2" applyNumberFormat="1" applyFont="1"/>
    <xf numFmtId="0" fontId="10" fillId="2" borderId="0" xfId="4" applyFill="1" applyAlignment="1">
      <alignment horizontal="left"/>
    </xf>
    <xf numFmtId="0" fontId="28" fillId="0" borderId="2" xfId="4" applyFont="1" applyBorder="1"/>
    <xf numFmtId="0" fontId="28" fillId="0" borderId="2" xfId="4" applyFont="1" applyBorder="1" applyAlignment="1">
      <alignment horizontal="left"/>
    </xf>
    <xf numFmtId="0" fontId="28" fillId="0" borderId="2" xfId="4" applyFont="1" applyBorder="1" applyAlignment="1">
      <alignment horizontal="center"/>
    </xf>
    <xf numFmtId="0" fontId="28" fillId="0" borderId="2" xfId="4" applyFont="1" applyBorder="1" applyAlignment="1">
      <alignment horizontal="right"/>
    </xf>
    <xf numFmtId="0" fontId="29" fillId="2" borderId="2" xfId="4" applyFont="1" applyFill="1" applyBorder="1" applyAlignment="1">
      <alignment vertical="top"/>
    </xf>
    <xf numFmtId="0" fontId="30" fillId="2" borderId="2" xfId="4" applyFont="1" applyFill="1" applyBorder="1" applyAlignment="1">
      <alignment vertical="top"/>
    </xf>
    <xf numFmtId="0" fontId="30" fillId="2" borderId="2" xfId="4" applyFont="1" applyFill="1" applyBorder="1" applyAlignment="1">
      <alignment vertical="top" wrapText="1"/>
    </xf>
    <xf numFmtId="167" fontId="30" fillId="2" borderId="2" xfId="7" applyNumberFormat="1" applyFont="1" applyFill="1" applyBorder="1" applyAlignment="1">
      <alignment vertical="top"/>
    </xf>
    <xf numFmtId="167" fontId="30" fillId="2" borderId="2" xfId="4" applyNumberFormat="1" applyFont="1" applyFill="1" applyBorder="1" applyAlignment="1">
      <alignment vertical="top"/>
    </xf>
    <xf numFmtId="167" fontId="30" fillId="0" borderId="2" xfId="4" applyNumberFormat="1" applyFont="1" applyBorder="1" applyAlignment="1">
      <alignment vertical="top"/>
    </xf>
    <xf numFmtId="0" fontId="29" fillId="2" borderId="2" xfId="4" applyFont="1" applyFill="1" applyBorder="1"/>
    <xf numFmtId="0" fontId="30" fillId="2" borderId="2" xfId="4" applyFont="1" applyFill="1" applyBorder="1"/>
    <xf numFmtId="8" fontId="30" fillId="2" borderId="2" xfId="5" applyFont="1" applyFill="1" applyBorder="1"/>
    <xf numFmtId="0" fontId="30" fillId="2" borderId="2" xfId="4" applyFont="1" applyFill="1" applyBorder="1" applyAlignment="1">
      <alignment wrapText="1"/>
    </xf>
    <xf numFmtId="0" fontId="30" fillId="0" borderId="2" xfId="4" applyFont="1" applyBorder="1"/>
    <xf numFmtId="0" fontId="29" fillId="0" borderId="2" xfId="4" applyFont="1" applyBorder="1"/>
    <xf numFmtId="8" fontId="30" fillId="0" borderId="2" xfId="5" applyFont="1" applyBorder="1"/>
    <xf numFmtId="167" fontId="30" fillId="0" borderId="2" xfId="4" applyNumberFormat="1" applyFont="1" applyBorder="1"/>
    <xf numFmtId="0" fontId="30" fillId="0" borderId="0" xfId="4" applyFont="1"/>
    <xf numFmtId="167" fontId="28" fillId="0" borderId="0" xfId="4" applyNumberFormat="1" applyFont="1"/>
    <xf numFmtId="43" fontId="2" fillId="0" borderId="0" xfId="1" applyFont="1"/>
    <xf numFmtId="10" fontId="4" fillId="2" borderId="2" xfId="2" applyNumberFormat="1" applyFont="1" applyFill="1" applyBorder="1" applyProtection="1">
      <protection locked="0"/>
    </xf>
    <xf numFmtId="0" fontId="0" fillId="0" borderId="0" xfId="0" applyAlignment="1">
      <alignment horizontal="right"/>
    </xf>
    <xf numFmtId="0" fontId="4" fillId="0" borderId="5" xfId="0" applyFont="1" applyBorder="1" applyProtection="1">
      <protection locked="0"/>
    </xf>
    <xf numFmtId="0" fontId="4" fillId="0" borderId="6" xfId="0" applyFont="1" applyBorder="1" applyProtection="1">
      <protection locked="0"/>
    </xf>
    <xf numFmtId="0" fontId="4" fillId="0" borderId="7" xfId="0" applyFont="1" applyBorder="1" applyProtection="1">
      <protection locked="0"/>
    </xf>
    <xf numFmtId="3" fontId="4" fillId="0" borderId="2" xfId="0" applyNumberFormat="1" applyFont="1" applyBorder="1"/>
    <xf numFmtId="166" fontId="4" fillId="0" borderId="2" xfId="0" applyNumberFormat="1" applyFont="1" applyBorder="1" applyAlignment="1">
      <alignment horizontal="center"/>
    </xf>
    <xf numFmtId="43" fontId="0" fillId="0" borderId="0" xfId="1" applyFont="1" applyFill="1" applyProtection="1"/>
    <xf numFmtId="164" fontId="0" fillId="0" borderId="0" xfId="1" applyNumberFormat="1" applyFont="1" applyFill="1" applyProtection="1"/>
    <xf numFmtId="3" fontId="3" fillId="0" borderId="2" xfId="0" applyNumberFormat="1" applyFont="1" applyBorder="1"/>
    <xf numFmtId="0" fontId="2" fillId="0" borderId="0" xfId="0" applyFont="1" applyProtection="1">
      <protection locked="0"/>
    </xf>
    <xf numFmtId="0" fontId="0" fillId="2" borderId="0" xfId="0" applyFill="1" applyProtection="1">
      <protection locked="0"/>
    </xf>
    <xf numFmtId="9" fontId="0" fillId="2" borderId="0" xfId="2" applyFont="1" applyFill="1" applyAlignment="1" applyProtection="1">
      <alignment horizontal="center"/>
      <protection locked="0"/>
    </xf>
    <xf numFmtId="0" fontId="2" fillId="0" borderId="0" xfId="0" applyFont="1" applyAlignment="1" applyProtection="1">
      <alignment horizontal="right"/>
      <protection locked="0"/>
    </xf>
    <xf numFmtId="4" fontId="0" fillId="0" borderId="0" xfId="0" applyNumberFormat="1" applyProtection="1">
      <protection locked="0"/>
    </xf>
    <xf numFmtId="0" fontId="0" fillId="0" borderId="0" xfId="0" applyAlignment="1" applyProtection="1">
      <alignment wrapText="1"/>
      <protection locked="0"/>
    </xf>
    <xf numFmtId="0" fontId="15" fillId="0" borderId="0" xfId="0" applyFont="1" applyProtection="1">
      <protection locked="0"/>
    </xf>
    <xf numFmtId="43" fontId="0" fillId="0" borderId="0" xfId="0" applyNumberFormat="1" applyProtection="1">
      <protection locked="0"/>
    </xf>
    <xf numFmtId="43" fontId="0" fillId="0" borderId="0" xfId="1" applyFont="1" applyProtection="1">
      <protection locked="0"/>
    </xf>
    <xf numFmtId="3" fontId="0" fillId="0" borderId="0" xfId="0" applyNumberFormat="1" applyProtection="1">
      <protection locked="0"/>
    </xf>
    <xf numFmtId="43" fontId="14" fillId="0" borderId="0" xfId="6" applyNumberFormat="1" applyProtection="1">
      <protection locked="0"/>
    </xf>
    <xf numFmtId="165" fontId="0" fillId="0" borderId="0" xfId="0" applyNumberFormat="1" applyProtection="1">
      <protection locked="0"/>
    </xf>
    <xf numFmtId="9" fontId="0" fillId="0" borderId="0" xfId="2" applyFont="1" applyProtection="1">
      <protection locked="0"/>
    </xf>
    <xf numFmtId="3" fontId="0" fillId="0" borderId="2" xfId="0" applyNumberFormat="1" applyBorder="1"/>
    <xf numFmtId="0" fontId="9" fillId="0" borderId="0" xfId="0" applyFont="1" applyAlignment="1">
      <alignment horizontal="center" wrapText="1"/>
    </xf>
    <xf numFmtId="0" fontId="9" fillId="5" borderId="0" xfId="0" applyFont="1" applyFill="1" applyAlignment="1">
      <alignment horizontal="center" wrapText="1"/>
    </xf>
    <xf numFmtId="0" fontId="31" fillId="6" borderId="0" xfId="0" applyFont="1" applyFill="1"/>
    <xf numFmtId="0" fontId="17" fillId="6" borderId="0" xfId="0" applyFont="1" applyFill="1"/>
    <xf numFmtId="0" fontId="17" fillId="5" borderId="0" xfId="0" applyFont="1" applyFill="1"/>
    <xf numFmtId="0" fontId="1" fillId="0" borderId="2" xfId="0" applyFont="1" applyBorder="1" applyAlignment="1" applyProtection="1">
      <alignment horizontal="right" vertical="center"/>
      <protection hidden="1"/>
    </xf>
    <xf numFmtId="0" fontId="1" fillId="2" borderId="2" xfId="0" applyFont="1" applyFill="1" applyBorder="1" applyAlignment="1" applyProtection="1">
      <alignment horizontal="center" vertical="center"/>
      <protection locked="0"/>
    </xf>
    <xf numFmtId="0" fontId="1" fillId="5" borderId="0" xfId="0" applyFont="1" applyFill="1" applyAlignment="1">
      <alignment horizontal="center" vertical="center"/>
    </xf>
    <xf numFmtId="0" fontId="9" fillId="2" borderId="2" xfId="0" applyFont="1" applyFill="1" applyBorder="1" applyAlignment="1">
      <alignment vertical="center"/>
    </xf>
    <xf numFmtId="0" fontId="0" fillId="0" borderId="0" xfId="0" applyAlignment="1">
      <alignment vertical="center"/>
    </xf>
    <xf numFmtId="0" fontId="9" fillId="7" borderId="2" xfId="0" applyFont="1" applyFill="1" applyBorder="1" applyAlignment="1">
      <alignment vertical="center"/>
    </xf>
    <xf numFmtId="0" fontId="19" fillId="0" borderId="2" xfId="0" applyFont="1" applyBorder="1" applyAlignment="1" applyProtection="1">
      <alignment horizontal="right" vertical="center"/>
      <protection hidden="1"/>
    </xf>
    <xf numFmtId="168" fontId="19" fillId="2" borderId="2" xfId="0" applyNumberFormat="1" applyFont="1" applyFill="1" applyBorder="1" applyAlignment="1" applyProtection="1">
      <alignment horizontal="center" vertical="center"/>
      <protection locked="0"/>
    </xf>
    <xf numFmtId="168" fontId="19" fillId="5" borderId="0" xfId="0" applyNumberFormat="1" applyFont="1" applyFill="1" applyAlignment="1">
      <alignment horizontal="center" vertical="center"/>
    </xf>
    <xf numFmtId="0" fontId="19" fillId="0" borderId="10" xfId="0" applyFont="1" applyBorder="1" applyAlignment="1" applyProtection="1">
      <alignment horizontal="right" vertical="center" wrapText="1"/>
      <protection hidden="1"/>
    </xf>
    <xf numFmtId="168" fontId="19" fillId="2" borderId="10" xfId="0" applyNumberFormat="1" applyFont="1" applyFill="1" applyBorder="1" applyAlignment="1" applyProtection="1">
      <alignment horizontal="center" vertical="center"/>
      <protection locked="0"/>
    </xf>
    <xf numFmtId="168" fontId="19" fillId="5" borderId="13" xfId="0" applyNumberFormat="1" applyFont="1" applyFill="1" applyBorder="1" applyAlignment="1">
      <alignment horizontal="center" vertical="center" wrapText="1"/>
    </xf>
    <xf numFmtId="0" fontId="9" fillId="0" borderId="5" xfId="0" applyFont="1"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19" fillId="0" borderId="5" xfId="0" applyFont="1" applyBorder="1" applyAlignment="1" applyProtection="1">
      <alignment horizontal="right" vertical="center" wrapText="1"/>
      <protection hidden="1"/>
    </xf>
    <xf numFmtId="169" fontId="20" fillId="7" borderId="2" xfId="8" applyNumberFormat="1" applyFont="1" applyFill="1" applyBorder="1" applyAlignment="1" applyProtection="1">
      <alignment horizontal="center" vertical="center"/>
      <protection hidden="1"/>
    </xf>
    <xf numFmtId="9" fontId="20" fillId="7" borderId="2" xfId="8" applyFont="1" applyFill="1" applyBorder="1" applyAlignment="1" applyProtection="1">
      <alignment horizontal="center" vertical="center"/>
      <protection hidden="1"/>
    </xf>
    <xf numFmtId="0" fontId="19" fillId="0" borderId="5" xfId="0" applyFont="1" applyBorder="1" applyAlignment="1" applyProtection="1">
      <alignment horizontal="right" vertical="center"/>
      <protection hidden="1"/>
    </xf>
    <xf numFmtId="9" fontId="20" fillId="5" borderId="0" xfId="8" applyFont="1" applyFill="1" applyBorder="1" applyAlignment="1" applyProtection="1">
      <alignment horizontal="center" vertical="center"/>
      <protection hidden="1"/>
    </xf>
    <xf numFmtId="0" fontId="0" fillId="5" borderId="0" xfId="0" applyFill="1" applyAlignment="1" applyProtection="1">
      <alignment vertical="center"/>
      <protection hidden="1"/>
    </xf>
    <xf numFmtId="168" fontId="19" fillId="2" borderId="5" xfId="0" applyNumberFormat="1" applyFont="1" applyFill="1" applyBorder="1" applyAlignment="1" applyProtection="1">
      <alignment horizontal="center" vertical="center"/>
      <protection locked="0"/>
    </xf>
    <xf numFmtId="0" fontId="32" fillId="0" borderId="0" xfId="0" applyFont="1"/>
    <xf numFmtId="0" fontId="0" fillId="5" borderId="0" xfId="0" applyFill="1"/>
    <xf numFmtId="0" fontId="32" fillId="0" borderId="0" xfId="0" applyFont="1" applyAlignment="1">
      <alignment horizontal="left" vertical="top" wrapText="1"/>
    </xf>
    <xf numFmtId="0" fontId="32" fillId="5" borderId="0" xfId="0" applyFont="1" applyFill="1" applyAlignment="1">
      <alignment horizontal="left" vertical="top" wrapText="1"/>
    </xf>
    <xf numFmtId="0" fontId="9" fillId="0" borderId="0" xfId="0" applyFont="1"/>
    <xf numFmtId="0" fontId="4" fillId="0" borderId="0" xfId="0" applyFont="1" applyAlignment="1" applyProtection="1">
      <alignment horizontal="right"/>
      <protection locked="0"/>
    </xf>
    <xf numFmtId="3" fontId="33" fillId="8" borderId="17" xfId="0" applyNumberFormat="1" applyFont="1" applyFill="1" applyBorder="1" applyProtection="1">
      <protection locked="0"/>
    </xf>
    <xf numFmtId="165" fontId="4" fillId="0" borderId="2" xfId="1" applyNumberFormat="1" applyFont="1" applyBorder="1" applyProtection="1"/>
    <xf numFmtId="0" fontId="34" fillId="2" borderId="0" xfId="0" applyFont="1" applyFill="1" applyProtection="1">
      <protection locked="0"/>
    </xf>
    <xf numFmtId="0" fontId="34" fillId="0" borderId="0" xfId="0" applyFont="1" applyProtection="1">
      <protection locked="0"/>
    </xf>
    <xf numFmtId="0" fontId="0" fillId="4" borderId="0" xfId="0" applyFill="1" applyProtection="1">
      <protection locked="0"/>
    </xf>
    <xf numFmtId="0" fontId="2" fillId="4" borderId="0" xfId="0" applyFont="1" applyFill="1" applyAlignment="1" applyProtection="1">
      <alignment horizontal="center"/>
      <protection locked="0"/>
    </xf>
    <xf numFmtId="0" fontId="2" fillId="4" borderId="0" xfId="0" applyFont="1" applyFill="1" applyProtection="1">
      <protection locked="0"/>
    </xf>
    <xf numFmtId="3" fontId="2" fillId="4" borderId="0" xfId="0" applyNumberFormat="1" applyFont="1" applyFill="1"/>
    <xf numFmtId="9" fontId="2" fillId="4" borderId="0" xfId="2" applyFont="1" applyFill="1" applyProtection="1"/>
    <xf numFmtId="0" fontId="35" fillId="0" borderId="0" xfId="6" applyFont="1" applyAlignment="1">
      <alignment vertical="center"/>
    </xf>
    <xf numFmtId="0" fontId="36" fillId="0" borderId="0" xfId="0" applyFont="1"/>
    <xf numFmtId="0" fontId="37" fillId="0" borderId="0" xfId="0" applyFont="1"/>
    <xf numFmtId="0" fontId="35" fillId="0" borderId="0" xfId="6" applyFont="1"/>
    <xf numFmtId="0" fontId="38" fillId="0" borderId="0" xfId="0" applyFont="1"/>
    <xf numFmtId="0" fontId="14" fillId="0" borderId="0" xfId="6" applyFill="1"/>
    <xf numFmtId="0" fontId="4" fillId="2" borderId="5" xfId="0" applyFont="1" applyFill="1" applyBorder="1" applyProtection="1">
      <protection locked="0"/>
    </xf>
    <xf numFmtId="0" fontId="4" fillId="2" borderId="6" xfId="0" applyFont="1" applyFill="1" applyBorder="1" applyProtection="1">
      <protection locked="0"/>
    </xf>
    <xf numFmtId="0" fontId="4" fillId="2" borderId="7" xfId="0" applyFont="1" applyFill="1" applyBorder="1" applyProtection="1">
      <protection locked="0"/>
    </xf>
    <xf numFmtId="0" fontId="3" fillId="0" borderId="5" xfId="0" applyFont="1" applyBorder="1" applyAlignment="1" applyProtection="1">
      <alignment horizontal="center" wrapText="1"/>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3" fillId="2" borderId="2" xfId="0" applyFont="1" applyFill="1" applyBorder="1" applyAlignment="1" applyProtection="1">
      <alignment wrapText="1"/>
      <protection locked="0"/>
    </xf>
    <xf numFmtId="0" fontId="2" fillId="2" borderId="2" xfId="0" applyFont="1" applyFill="1" applyBorder="1" applyProtection="1">
      <protection locked="0"/>
    </xf>
    <xf numFmtId="0" fontId="0" fillId="2" borderId="2" xfId="0" applyFill="1" applyBorder="1" applyProtection="1">
      <protection locked="0"/>
    </xf>
    <xf numFmtId="0" fontId="4" fillId="0" borderId="5" xfId="0" applyFont="1" applyBorder="1" applyProtection="1">
      <protection locked="0"/>
    </xf>
    <xf numFmtId="0" fontId="4" fillId="0" borderId="6" xfId="0" applyFont="1" applyBorder="1" applyProtection="1">
      <protection locked="0"/>
    </xf>
    <xf numFmtId="0" fontId="4" fillId="0" borderId="7" xfId="0" applyFont="1" applyBorder="1" applyProtection="1">
      <protection locked="0"/>
    </xf>
    <xf numFmtId="0" fontId="2" fillId="0" borderId="5"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3" fillId="0" borderId="1" xfId="0" applyFont="1" applyBorder="1" applyAlignment="1" applyProtection="1">
      <alignment wrapText="1"/>
      <protection locked="0"/>
    </xf>
    <xf numFmtId="3" fontId="4" fillId="0" borderId="5" xfId="0" applyNumberFormat="1" applyFont="1" applyBorder="1" applyProtection="1">
      <protection locked="0"/>
    </xf>
    <xf numFmtId="3" fontId="4" fillId="0" borderId="7" xfId="0" applyNumberFormat="1" applyFont="1" applyBorder="1" applyProtection="1">
      <protection locked="0"/>
    </xf>
    <xf numFmtId="169" fontId="20" fillId="0" borderId="15" xfId="8" applyNumberFormat="1" applyFont="1" applyBorder="1" applyAlignment="1">
      <alignment horizontal="center" vertical="center"/>
    </xf>
    <xf numFmtId="169" fontId="20" fillId="0" borderId="16" xfId="8" applyNumberFormat="1" applyFont="1" applyBorder="1" applyAlignment="1">
      <alignment horizontal="center" vertical="center"/>
    </xf>
    <xf numFmtId="0" fontId="0" fillId="7" borderId="5" xfId="0" applyFill="1" applyBorder="1" applyAlignment="1" applyProtection="1">
      <alignment horizontal="left" vertical="center"/>
      <protection hidden="1"/>
    </xf>
    <xf numFmtId="0" fontId="0" fillId="7" borderId="6" xfId="0" applyFill="1" applyBorder="1" applyAlignment="1" applyProtection="1">
      <alignment horizontal="left" vertical="center"/>
      <protection hidden="1"/>
    </xf>
    <xf numFmtId="0" fontId="0" fillId="7" borderId="7" xfId="0" applyFill="1" applyBorder="1" applyAlignment="1" applyProtection="1">
      <alignment horizontal="left" vertical="center"/>
      <protection hidden="1"/>
    </xf>
    <xf numFmtId="0" fontId="0" fillId="7" borderId="5" xfId="0"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0" fillId="7" borderId="7" xfId="0" applyFill="1" applyBorder="1" applyAlignment="1" applyProtection="1">
      <alignment horizontal="left" vertical="center" wrapText="1"/>
      <protection hidden="1"/>
    </xf>
    <xf numFmtId="0" fontId="32" fillId="0" borderId="0" xfId="0" applyFont="1" applyAlignment="1">
      <alignment horizontal="left" vertical="top" wrapText="1"/>
    </xf>
    <xf numFmtId="0" fontId="28" fillId="0" borderId="5" xfId="4" applyFont="1" applyBorder="1" applyAlignment="1">
      <alignment horizontal="center"/>
    </xf>
    <xf numFmtId="0" fontId="28" fillId="0" borderId="7" xfId="4" applyFont="1" applyBorder="1" applyAlignment="1">
      <alignment horizontal="center"/>
    </xf>
  </cellXfs>
  <cellStyles count="10">
    <cellStyle name="Comma" xfId="1" builtinId="3"/>
    <cellStyle name="Currency" xfId="7" builtinId="4"/>
    <cellStyle name="Currency 2" xfId="9" xr:uid="{00000000-0005-0000-0000-000002000000}"/>
    <cellStyle name="Currency_Magis Group LLC 2010 Budgetv.5a" xfId="5" xr:uid="{00000000-0005-0000-0000-000003000000}"/>
    <cellStyle name="Hyperlink" xfId="6" builtinId="8"/>
    <cellStyle name="Normal" xfId="0" builtinId="0"/>
    <cellStyle name="Normal 2" xfId="3" xr:uid="{00000000-0005-0000-0000-000006000000}"/>
    <cellStyle name="Normal_Magis Group LLC 2010 Budgetv.5a" xfId="4" xr:uid="{00000000-0005-0000-0000-000007000000}"/>
    <cellStyle name="Percent" xfId="2" builtinId="5"/>
    <cellStyle name="Percent 2" xfId="8" xr:uid="{00000000-0005-0000-0000-00000A000000}"/>
  </cellStyles>
  <dxfs count="7">
    <dxf>
      <font>
        <color theme="4" tint="0.79998168889431442"/>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95250</xdr:colOff>
      <xdr:row>3</xdr:row>
      <xdr:rowOff>19050</xdr:rowOff>
    </xdr:from>
    <xdr:ext cx="5819775" cy="953466"/>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5250" y="590550"/>
          <a:ext cx="5819775" cy="953466"/>
        </a:xfrm>
        <a:prstGeom prst="rect">
          <a:avLst/>
        </a:prstGeom>
        <a:solidFill>
          <a:sysClr val="window" lastClr="FFFFFF"/>
        </a:solidFill>
        <a:ln cmpd="dbl">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This worksheet contains </a:t>
          </a:r>
          <a:r>
            <a:rPr lang="en-US" sz="1100">
              <a:solidFill>
                <a:srgbClr val="FF0000"/>
              </a:solidFill>
            </a:rPr>
            <a:t>SAMPLE DATA </a:t>
          </a:r>
          <a:r>
            <a:rPr lang="en-US" sz="1100">
              <a:solidFill>
                <a:schemeClr val="tx1"/>
              </a:solidFill>
            </a:rPr>
            <a:t>to</a:t>
          </a:r>
          <a:r>
            <a:rPr lang="en-US" sz="1100"/>
            <a:t> aid in determining, in a general sense, where costs will be allocated for the grant. The applicant is allowed up to 7% fee. The applicant should also provide enough indirect costs through the allocation of an indirect rate to cover administrative costs. This model can also be adjusted if fringe is proposed as a direct cost, as allowed on the DOE Budget worksheet. The indirect rate in this model is applied to all direct costs.</a:t>
          </a:r>
          <a:r>
            <a:rPr lang="en-US" sz="1100" baseline="0"/>
            <a:t> </a:t>
          </a:r>
          <a:endParaRPr lang="en-US" sz="1100"/>
        </a:p>
      </xdr:txBody>
    </xdr:sp>
    <xdr:clientData/>
  </xdr:oneCellAnchor>
  <xdr:twoCellAnchor editAs="oneCell">
    <xdr:from>
      <xdr:col>5</xdr:col>
      <xdr:colOff>142875</xdr:colOff>
      <xdr:row>0</xdr:row>
      <xdr:rowOff>57150</xdr:rowOff>
    </xdr:from>
    <xdr:to>
      <xdr:col>7</xdr:col>
      <xdr:colOff>457200</xdr:colOff>
      <xdr:row>3</xdr:row>
      <xdr:rowOff>19050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86150" y="57150"/>
          <a:ext cx="1533525" cy="533400"/>
        </a:xfrm>
        <a:prstGeom prst="rect">
          <a:avLst/>
        </a:prstGeom>
      </xdr:spPr>
    </xdr:pic>
    <xdr:clientData/>
  </xdr:twoCellAnchor>
  <xdr:twoCellAnchor>
    <xdr:from>
      <xdr:col>2</xdr:col>
      <xdr:colOff>326231</xdr:colOff>
      <xdr:row>15</xdr:row>
      <xdr:rowOff>107156</xdr:rowOff>
    </xdr:from>
    <xdr:to>
      <xdr:col>2</xdr:col>
      <xdr:colOff>326232</xdr:colOff>
      <xdr:row>17</xdr:row>
      <xdr:rowOff>102396</xdr:rowOff>
    </xdr:to>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flipH="1" flipV="1">
          <a:off x="2717006" y="2964656"/>
          <a:ext cx="1" cy="37624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7144</xdr:colOff>
      <xdr:row>17</xdr:row>
      <xdr:rowOff>97631</xdr:rowOff>
    </xdr:from>
    <xdr:to>
      <xdr:col>2</xdr:col>
      <xdr:colOff>328614</xdr:colOff>
      <xdr:row>17</xdr:row>
      <xdr:rowOff>102394</xdr:rowOff>
    </xdr:to>
    <xdr:cxnSp macro="">
      <xdr:nvCxnSpPr>
        <xdr:cNvPr id="10" name="Straight Arrow Connector 9">
          <a:extLst>
            <a:ext uri="{FF2B5EF4-FFF2-40B4-BE49-F238E27FC236}">
              <a16:creationId xmlns:a16="http://schemas.microsoft.com/office/drawing/2014/main" id="{00000000-0008-0000-0000-00000A000000}"/>
            </a:ext>
          </a:extLst>
        </xdr:cNvPr>
        <xdr:cNvCxnSpPr/>
      </xdr:nvCxnSpPr>
      <xdr:spPr>
        <a:xfrm flipH="1" flipV="1">
          <a:off x="2397919" y="3336131"/>
          <a:ext cx="321470" cy="476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45244</xdr:colOff>
      <xdr:row>18</xdr:row>
      <xdr:rowOff>95252</xdr:rowOff>
    </xdr:from>
    <xdr:to>
      <xdr:col>3</xdr:col>
      <xdr:colOff>57151</xdr:colOff>
      <xdr:row>30</xdr:row>
      <xdr:rowOff>119063</xdr:rowOff>
    </xdr:to>
    <xdr:cxnSp macro="">
      <xdr:nvCxnSpPr>
        <xdr:cNvPr id="11" name="Straight Connector 10">
          <a:extLst>
            <a:ext uri="{FF2B5EF4-FFF2-40B4-BE49-F238E27FC236}">
              <a16:creationId xmlns:a16="http://schemas.microsoft.com/office/drawing/2014/main" id="{00000000-0008-0000-0000-00000B000000}"/>
            </a:ext>
          </a:extLst>
        </xdr:cNvPr>
        <xdr:cNvCxnSpPr/>
      </xdr:nvCxnSpPr>
      <xdr:spPr>
        <a:xfrm flipH="1">
          <a:off x="2978944" y="3524252"/>
          <a:ext cx="11907" cy="230981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4764</xdr:colOff>
      <xdr:row>18</xdr:row>
      <xdr:rowOff>92869</xdr:rowOff>
    </xdr:from>
    <xdr:to>
      <xdr:col>3</xdr:col>
      <xdr:colOff>61913</xdr:colOff>
      <xdr:row>18</xdr:row>
      <xdr:rowOff>95250</xdr:rowOff>
    </xdr:to>
    <xdr:cxnSp macro="">
      <xdr:nvCxnSpPr>
        <xdr:cNvPr id="12" name="Straight Arrow Connector 11">
          <a:extLst>
            <a:ext uri="{FF2B5EF4-FFF2-40B4-BE49-F238E27FC236}">
              <a16:creationId xmlns:a16="http://schemas.microsoft.com/office/drawing/2014/main" id="{00000000-0008-0000-0000-00000C000000}"/>
            </a:ext>
          </a:extLst>
        </xdr:cNvPr>
        <xdr:cNvCxnSpPr/>
      </xdr:nvCxnSpPr>
      <xdr:spPr>
        <a:xfrm flipH="1" flipV="1">
          <a:off x="2395539" y="3521869"/>
          <a:ext cx="600074" cy="238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4763</xdr:colOff>
      <xdr:row>15</xdr:row>
      <xdr:rowOff>107157</xdr:rowOff>
    </xdr:from>
    <xdr:to>
      <xdr:col>2</xdr:col>
      <xdr:colOff>328613</xdr:colOff>
      <xdr:row>15</xdr:row>
      <xdr:rowOff>109538</xdr:rowOff>
    </xdr:to>
    <xdr:cxnSp macro="">
      <xdr:nvCxnSpPr>
        <xdr:cNvPr id="19" name="Straight Connector 18">
          <a:extLst>
            <a:ext uri="{FF2B5EF4-FFF2-40B4-BE49-F238E27FC236}">
              <a16:creationId xmlns:a16="http://schemas.microsoft.com/office/drawing/2014/main" id="{00000000-0008-0000-0000-000013000000}"/>
            </a:ext>
          </a:extLst>
        </xdr:cNvPr>
        <xdr:cNvCxnSpPr/>
      </xdr:nvCxnSpPr>
      <xdr:spPr>
        <a:xfrm>
          <a:off x="2395538" y="2964657"/>
          <a:ext cx="323850" cy="23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xdr:colOff>
      <xdr:row>30</xdr:row>
      <xdr:rowOff>116681</xdr:rowOff>
    </xdr:from>
    <xdr:to>
      <xdr:col>3</xdr:col>
      <xdr:colOff>45244</xdr:colOff>
      <xdr:row>30</xdr:row>
      <xdr:rowOff>116682</xdr:rowOff>
    </xdr:to>
    <xdr:cxnSp macro="">
      <xdr:nvCxnSpPr>
        <xdr:cNvPr id="25" name="Straight Connector 24">
          <a:extLst>
            <a:ext uri="{FF2B5EF4-FFF2-40B4-BE49-F238E27FC236}">
              <a16:creationId xmlns:a16="http://schemas.microsoft.com/office/drawing/2014/main" id="{00000000-0008-0000-0000-000019000000}"/>
            </a:ext>
          </a:extLst>
        </xdr:cNvPr>
        <xdr:cNvCxnSpPr/>
      </xdr:nvCxnSpPr>
      <xdr:spPr>
        <a:xfrm flipV="1">
          <a:off x="2390776" y="5831681"/>
          <a:ext cx="588168"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476250</xdr:colOff>
      <xdr:row>1</xdr:row>
      <xdr:rowOff>9525</xdr:rowOff>
    </xdr:from>
    <xdr:to>
      <xdr:col>13</xdr:col>
      <xdr:colOff>788987</xdr:colOff>
      <xdr:row>3</xdr:row>
      <xdr:rowOff>160337</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48650" y="200025"/>
          <a:ext cx="1533525" cy="5334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travel.dod.mil/Programs/Rail/" TargetMode="External"/><Relationship Id="rId1" Type="http://schemas.openxmlformats.org/officeDocument/2006/relationships/hyperlink" Target="http://www.gsa.gov/portal/content/104877"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www.bls.gov/oes/current/oes_nat.htm" TargetMode="External"/><Relationship Id="rId7" Type="http://schemas.openxmlformats.org/officeDocument/2006/relationships/printerSettings" Target="../printerSettings/printerSettings7.bin"/><Relationship Id="rId2" Type="http://schemas.openxmlformats.org/officeDocument/2006/relationships/hyperlink" Target="http://www.bls.gov/oes/current/oes_nat.htm" TargetMode="External"/><Relationship Id="rId1" Type="http://schemas.openxmlformats.org/officeDocument/2006/relationships/hyperlink" Target="https://www.bls.gov/oes/current/oes_nat.htm" TargetMode="External"/><Relationship Id="rId6" Type="http://schemas.openxmlformats.org/officeDocument/2006/relationships/hyperlink" Target="https://www.moneyunder30.com/best-salary-information-websites" TargetMode="External"/><Relationship Id="rId5" Type="http://schemas.openxmlformats.org/officeDocument/2006/relationships/hyperlink" Target="http://www.bls.gov/oes/current/oes_nat.htm" TargetMode="External"/><Relationship Id="rId4" Type="http://schemas.openxmlformats.org/officeDocument/2006/relationships/hyperlink" Target="http://www.bls.gov/oes/current/oes_nat.ht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f:/g/personal/cevans_reliascent_com/ErB-bhNfyrBJuh5NSU2eNBIBGS-vUV6iNxoawHpwe3h0ig?e=KNrrHE" TargetMode="External"/><Relationship Id="rId7" Type="http://schemas.openxmlformats.org/officeDocument/2006/relationships/hyperlink" Target="https://www.youtube.com/watch?v=j9_ks8CCgWA" TargetMode="External"/><Relationship Id="rId2" Type="http://schemas.openxmlformats.org/officeDocument/2006/relationships/hyperlink" Target="https://www.reliascent.com/doe-sbir-sttr-phase-0-budget-assistance-resources-dashboard" TargetMode="External"/><Relationship Id="rId1" Type="http://schemas.openxmlformats.org/officeDocument/2006/relationships/hyperlink" Target="https://pamsexternalhelp.science.energy.gov/pages/viewpage.action?pageId=105513128" TargetMode="External"/><Relationship Id="rId6" Type="http://schemas.openxmlformats.org/officeDocument/2006/relationships/hyperlink" Target="https://www.youtube.com/watch?v=OYM_t5kUYp0" TargetMode="External"/><Relationship Id="rId5" Type="http://schemas.openxmlformats.org/officeDocument/2006/relationships/hyperlink" Target="https://www.youtube.com/watch?v=ecb-J1czVPc" TargetMode="External"/><Relationship Id="rId4" Type="http://schemas.openxmlformats.org/officeDocument/2006/relationships/hyperlink" Target="https://www.youtube.com/watch?v=SqZcdkZYOC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2"/>
  <sheetViews>
    <sheetView tabSelected="1" zoomScale="120" zoomScaleNormal="120" workbookViewId="0">
      <selection activeCell="L31" sqref="L31"/>
    </sheetView>
  </sheetViews>
  <sheetFormatPr defaultRowHeight="14.5"/>
  <cols>
    <col min="1" max="1" width="22.453125" customWidth="1"/>
    <col min="2" max="2" width="13.453125" customWidth="1"/>
    <col min="3" max="3" width="10.1796875" customWidth="1"/>
    <col min="4" max="4" width="2.54296875" customWidth="1"/>
    <col min="9" max="9" width="11.1796875" bestFit="1" customWidth="1"/>
    <col min="13" max="13" width="12" bestFit="1" customWidth="1"/>
  </cols>
  <sheetData>
    <row r="1" spans="1:9">
      <c r="A1" s="1" t="s">
        <v>0</v>
      </c>
    </row>
    <row r="2" spans="1:9">
      <c r="A2" s="1" t="s">
        <v>1</v>
      </c>
    </row>
    <row r="10" spans="1:9">
      <c r="A10" s="4" t="s">
        <v>2</v>
      </c>
      <c r="B10" s="4"/>
      <c r="C10" s="4"/>
      <c r="D10" s="4"/>
      <c r="E10" s="4"/>
      <c r="F10" s="4"/>
      <c r="I10" s="1"/>
    </row>
    <row r="11" spans="1:9">
      <c r="I11" s="117"/>
    </row>
    <row r="12" spans="1:9">
      <c r="A12" s="31" t="s">
        <v>3</v>
      </c>
      <c r="B12" s="89">
        <v>200000</v>
      </c>
      <c r="C12" s="25"/>
      <c r="E12" s="50" t="s">
        <v>4</v>
      </c>
    </row>
    <row r="13" spans="1:9">
      <c r="A13" s="26" t="s">
        <v>5</v>
      </c>
      <c r="B13" s="76">
        <f>B12-B14</f>
        <v>13084.11214953271</v>
      </c>
      <c r="C13" s="28">
        <v>7.0000000000000007E-2</v>
      </c>
      <c r="E13" t="s">
        <v>6</v>
      </c>
    </row>
    <row r="14" spans="1:9">
      <c r="A14" s="26" t="s">
        <v>7</v>
      </c>
      <c r="B14" s="90">
        <f>B12/(1+C13)</f>
        <v>186915.88785046729</v>
      </c>
      <c r="C14" s="27"/>
      <c r="E14" t="s">
        <v>8</v>
      </c>
    </row>
    <row r="15" spans="1:9">
      <c r="A15" s="26" t="s">
        <v>9</v>
      </c>
      <c r="B15" s="76">
        <f>B14-B16</f>
        <v>37383.177570093452</v>
      </c>
      <c r="C15" s="28">
        <v>0.25</v>
      </c>
      <c r="E15" t="s">
        <v>10</v>
      </c>
    </row>
    <row r="16" spans="1:9">
      <c r="A16" s="32" t="s">
        <v>11</v>
      </c>
      <c r="B16" s="91">
        <f>B14/(1+C15)</f>
        <v>149532.71028037384</v>
      </c>
      <c r="C16" s="30"/>
      <c r="E16" t="s">
        <v>12</v>
      </c>
    </row>
    <row r="17" spans="1:13">
      <c r="A17" s="1"/>
      <c r="K17" s="95"/>
    </row>
    <row r="18" spans="1:13">
      <c r="A18" s="3" t="s">
        <v>13</v>
      </c>
      <c r="B18" s="76">
        <f>B16</f>
        <v>149532.71028037384</v>
      </c>
    </row>
    <row r="19" spans="1:13">
      <c r="A19" s="3" t="s">
        <v>14</v>
      </c>
      <c r="B19" s="76">
        <f>B31</f>
        <v>149533</v>
      </c>
    </row>
    <row r="20" spans="1:13">
      <c r="A20" s="3" t="s">
        <v>15</v>
      </c>
      <c r="B20" s="76">
        <f>B18-B19</f>
        <v>-0.28971962616196834</v>
      </c>
    </row>
    <row r="21" spans="1:13">
      <c r="A21" s="1"/>
    </row>
    <row r="22" spans="1:13">
      <c r="A22" s="31" t="s">
        <v>16</v>
      </c>
      <c r="B22" s="33"/>
      <c r="C22" s="25"/>
      <c r="E22" t="s">
        <v>17</v>
      </c>
    </row>
    <row r="23" spans="1:13">
      <c r="A23" s="26" t="s">
        <v>18</v>
      </c>
      <c r="B23" s="92">
        <v>122533</v>
      </c>
      <c r="C23" s="27"/>
      <c r="M23" s="2"/>
    </row>
    <row r="24" spans="1:13">
      <c r="A24" s="26" t="s">
        <v>19</v>
      </c>
      <c r="B24" s="90">
        <f>B23*C24</f>
        <v>0</v>
      </c>
      <c r="C24" s="28">
        <v>0</v>
      </c>
      <c r="E24" t="s">
        <v>20</v>
      </c>
    </row>
    <row r="25" spans="1:13">
      <c r="A25" s="26" t="s">
        <v>21</v>
      </c>
      <c r="B25" s="92">
        <v>0</v>
      </c>
      <c r="C25" s="27"/>
      <c r="E25" t="s">
        <v>22</v>
      </c>
    </row>
    <row r="26" spans="1:13">
      <c r="A26" s="26" t="s">
        <v>23</v>
      </c>
      <c r="B26" s="92">
        <v>2000</v>
      </c>
      <c r="C26" s="27"/>
      <c r="D26" s="53"/>
    </row>
    <row r="27" spans="1:13">
      <c r="A27" s="26" t="s">
        <v>24</v>
      </c>
      <c r="B27" s="92">
        <v>5000</v>
      </c>
      <c r="C27" s="27"/>
      <c r="E27" t="s">
        <v>25</v>
      </c>
    </row>
    <row r="28" spans="1:13">
      <c r="A28" s="26" t="s">
        <v>26</v>
      </c>
      <c r="B28" s="92">
        <v>8000</v>
      </c>
      <c r="C28" s="27"/>
      <c r="E28" t="s">
        <v>27</v>
      </c>
    </row>
    <row r="29" spans="1:13">
      <c r="A29" s="26" t="s">
        <v>28</v>
      </c>
      <c r="B29" s="92">
        <v>0</v>
      </c>
      <c r="C29" s="27"/>
      <c r="E29" t="s">
        <v>29</v>
      </c>
    </row>
    <row r="30" spans="1:13">
      <c r="A30" s="26" t="s">
        <v>30</v>
      </c>
      <c r="B30" s="93">
        <v>12000</v>
      </c>
      <c r="C30" s="27"/>
    </row>
    <row r="31" spans="1:13">
      <c r="A31" s="29" t="s">
        <v>31</v>
      </c>
      <c r="B31" s="94">
        <f>SUM(B23:B30)</f>
        <v>149533</v>
      </c>
      <c r="C31" s="30"/>
    </row>
    <row r="32" spans="1:13">
      <c r="C32" s="2"/>
    </row>
  </sheetData>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18"/>
  <sheetViews>
    <sheetView topLeftCell="A2" zoomScale="120" zoomScaleNormal="120" workbookViewId="0">
      <pane ySplit="7" topLeftCell="A9" activePane="bottomLeft" state="frozen"/>
      <selection activeCell="B2" sqref="B2"/>
      <selection pane="bottomLeft" activeCell="N70" sqref="N70"/>
    </sheetView>
  </sheetViews>
  <sheetFormatPr defaultColWidth="9.1796875" defaultRowHeight="14.5"/>
  <cols>
    <col min="1" max="2" width="9.1796875" style="14"/>
    <col min="3" max="3" width="11.1796875" style="14" customWidth="1"/>
    <col min="4" max="5" width="9.1796875" style="14"/>
    <col min="6" max="6" width="18.81640625" style="14" customWidth="1"/>
    <col min="7" max="7" width="9.1796875" style="14"/>
    <col min="8" max="8" width="13.81640625" style="14" customWidth="1"/>
    <col min="9" max="9" width="11.54296875" style="14" bestFit="1" customWidth="1"/>
    <col min="10" max="10" width="12.1796875" style="14" customWidth="1"/>
    <col min="11" max="11" width="10.54296875" style="14" bestFit="1" customWidth="1"/>
    <col min="12" max="13" width="9.1796875" style="14"/>
    <col min="14" max="14" width="12.1796875" style="14" customWidth="1"/>
    <col min="15" max="15" width="9.1796875" style="14"/>
    <col min="16" max="16" width="11.54296875" style="14" bestFit="1" customWidth="1"/>
    <col min="17" max="16384" width="9.1796875" style="14"/>
  </cols>
  <sheetData>
    <row r="1" spans="1:20">
      <c r="A1" s="128" t="s">
        <v>0</v>
      </c>
    </row>
    <row r="2" spans="1:20">
      <c r="A2" s="128" t="s">
        <v>32</v>
      </c>
    </row>
    <row r="3" spans="1:20">
      <c r="A3" s="128" t="s">
        <v>33</v>
      </c>
    </row>
    <row r="4" spans="1:20" ht="15">
      <c r="A4" s="128" t="s">
        <v>34</v>
      </c>
    </row>
    <row r="5" spans="1:20" ht="18.5">
      <c r="A5" s="177" t="s">
        <v>35</v>
      </c>
      <c r="B5" s="129"/>
      <c r="C5" s="129"/>
      <c r="D5" s="129"/>
      <c r="E5" s="129"/>
      <c r="F5" s="129"/>
      <c r="G5" s="129"/>
      <c r="H5" s="129"/>
      <c r="I5" s="129"/>
      <c r="J5" s="129"/>
      <c r="K5" s="129"/>
      <c r="L5" s="129"/>
      <c r="M5" s="129"/>
      <c r="N5" s="129"/>
    </row>
    <row r="6" spans="1:20" ht="18.5">
      <c r="A6" s="178"/>
      <c r="L6" s="179"/>
      <c r="M6" s="180" t="s">
        <v>36</v>
      </c>
      <c r="N6" s="179"/>
    </row>
    <row r="7" spans="1:20">
      <c r="L7" s="179"/>
      <c r="M7" s="182">
        <f>I110</f>
        <v>208511</v>
      </c>
      <c r="N7" s="181" t="s">
        <v>37</v>
      </c>
    </row>
    <row r="8" spans="1:20">
      <c r="L8" s="179"/>
      <c r="M8" s="183">
        <f>C118</f>
        <v>0.32953590779033665</v>
      </c>
      <c r="N8" s="181" t="s">
        <v>38</v>
      </c>
    </row>
    <row r="9" spans="1:20">
      <c r="A9" s="128" t="s">
        <v>39</v>
      </c>
      <c r="N9" s="202" t="s">
        <v>40</v>
      </c>
      <c r="O9" s="203"/>
      <c r="P9" s="203"/>
      <c r="Q9" s="204"/>
    </row>
    <row r="10" spans="1:20" ht="26.5">
      <c r="A10" s="6" t="s">
        <v>41</v>
      </c>
      <c r="B10" s="6" t="s">
        <v>42</v>
      </c>
      <c r="C10" s="6" t="s">
        <v>43</v>
      </c>
      <c r="D10" s="6" t="s">
        <v>44</v>
      </c>
      <c r="E10" s="6" t="s">
        <v>45</v>
      </c>
      <c r="F10" s="6" t="s">
        <v>46</v>
      </c>
      <c r="G10" s="6" t="s">
        <v>47</v>
      </c>
      <c r="H10" s="6" t="s">
        <v>48</v>
      </c>
      <c r="I10" s="6" t="s">
        <v>49</v>
      </c>
      <c r="J10" s="6" t="s">
        <v>50</v>
      </c>
      <c r="K10" s="6" t="s">
        <v>51</v>
      </c>
      <c r="L10" s="6" t="s">
        <v>52</v>
      </c>
      <c r="M10" s="6" t="s">
        <v>53</v>
      </c>
      <c r="N10" s="21" t="s">
        <v>54</v>
      </c>
      <c r="O10" s="21" t="s">
        <v>55</v>
      </c>
      <c r="P10" s="21" t="s">
        <v>56</v>
      </c>
      <c r="Q10" s="21" t="s">
        <v>57</v>
      </c>
      <c r="R10" s="21" t="s">
        <v>58</v>
      </c>
      <c r="S10" s="130">
        <v>0</v>
      </c>
      <c r="T10" s="13"/>
    </row>
    <row r="11" spans="1:20">
      <c r="A11" s="17" t="s">
        <v>59</v>
      </c>
      <c r="B11" s="17"/>
      <c r="C11" s="17"/>
      <c r="D11" s="17"/>
      <c r="E11" s="17"/>
      <c r="F11" s="34" t="s">
        <v>60</v>
      </c>
      <c r="G11" s="123">
        <f>P11</f>
        <v>150000</v>
      </c>
      <c r="H11" s="124">
        <f>Q11</f>
        <v>2.8846708590549817</v>
      </c>
      <c r="I11" s="10"/>
      <c r="J11" s="10"/>
      <c r="K11" s="176">
        <f>ROUND(N11*O11,0)</f>
        <v>36058</v>
      </c>
      <c r="L11" s="176">
        <f>ROUND(K11*$S$10,0)</f>
        <v>0</v>
      </c>
      <c r="M11" s="176">
        <f>K11+L11</f>
        <v>36058</v>
      </c>
      <c r="N11" s="15">
        <v>500</v>
      </c>
      <c r="O11" s="125">
        <f>P11/2080</f>
        <v>72.115384615384613</v>
      </c>
      <c r="P11" s="15">
        <v>150000</v>
      </c>
      <c r="Q11" s="126">
        <f>N11/173.33</f>
        <v>2.8846708590549817</v>
      </c>
    </row>
    <row r="12" spans="1:20">
      <c r="A12" s="17"/>
      <c r="B12" s="17"/>
      <c r="C12" s="17"/>
      <c r="D12" s="17"/>
      <c r="E12" s="17"/>
      <c r="F12" s="17"/>
      <c r="G12" s="123">
        <f t="shared" ref="G12:G17" si="0">P12</f>
        <v>100000</v>
      </c>
      <c r="H12" s="124">
        <f>Q12</f>
        <v>2.8846708590549817</v>
      </c>
      <c r="I12" s="10"/>
      <c r="J12" s="10"/>
      <c r="K12" s="176">
        <f t="shared" ref="K12:K18" si="1">ROUND(N12*O12,0)</f>
        <v>24038</v>
      </c>
      <c r="L12" s="176">
        <f t="shared" ref="L12:L18" si="2">ROUND(K12*$S$10,0)</f>
        <v>0</v>
      </c>
      <c r="M12" s="176">
        <f>K12+L12</f>
        <v>24038</v>
      </c>
      <c r="N12" s="15">
        <v>500</v>
      </c>
      <c r="O12" s="125">
        <f>P12/2080</f>
        <v>48.07692307692308</v>
      </c>
      <c r="P12" s="15">
        <v>100000</v>
      </c>
      <c r="Q12" s="126">
        <f>N12/173.33</f>
        <v>2.8846708590549817</v>
      </c>
      <c r="S12" s="72" t="s">
        <v>61</v>
      </c>
    </row>
    <row r="13" spans="1:20">
      <c r="A13" s="17"/>
      <c r="B13" s="17"/>
      <c r="C13" s="17"/>
      <c r="D13" s="17"/>
      <c r="E13" s="17"/>
      <c r="F13" s="17"/>
      <c r="G13" s="123">
        <f t="shared" si="0"/>
        <v>0</v>
      </c>
      <c r="H13" s="124">
        <f t="shared" ref="H13:H17" si="3">Q13</f>
        <v>0</v>
      </c>
      <c r="I13" s="10"/>
      <c r="J13" s="10"/>
      <c r="K13" s="176">
        <f t="shared" si="1"/>
        <v>0</v>
      </c>
      <c r="L13" s="176">
        <f t="shared" si="2"/>
        <v>0</v>
      </c>
      <c r="M13" s="176">
        <f t="shared" ref="M13:M17" si="4">K13+L13</f>
        <v>0</v>
      </c>
      <c r="N13" s="15">
        <v>0</v>
      </c>
      <c r="O13" s="125">
        <f t="shared" ref="O13:O18" si="5">P13/2080</f>
        <v>0</v>
      </c>
      <c r="P13" s="15">
        <v>0</v>
      </c>
      <c r="Q13" s="126">
        <f t="shared" ref="Q13:Q18" si="6">N13/173.33</f>
        <v>0</v>
      </c>
    </row>
    <row r="14" spans="1:20">
      <c r="A14" s="17"/>
      <c r="B14" s="17"/>
      <c r="C14" s="17"/>
      <c r="D14" s="17"/>
      <c r="E14" s="17"/>
      <c r="F14" s="17"/>
      <c r="G14" s="123">
        <f t="shared" si="0"/>
        <v>0</v>
      </c>
      <c r="H14" s="124">
        <f t="shared" si="3"/>
        <v>0</v>
      </c>
      <c r="I14" s="10"/>
      <c r="J14" s="10"/>
      <c r="K14" s="176">
        <f t="shared" si="1"/>
        <v>0</v>
      </c>
      <c r="L14" s="176">
        <f t="shared" si="2"/>
        <v>0</v>
      </c>
      <c r="M14" s="176">
        <f t="shared" si="4"/>
        <v>0</v>
      </c>
      <c r="N14" s="15">
        <v>0</v>
      </c>
      <c r="O14" s="125">
        <f t="shared" si="5"/>
        <v>0</v>
      </c>
      <c r="P14" s="15">
        <v>0</v>
      </c>
      <c r="Q14" s="126">
        <f t="shared" si="6"/>
        <v>0</v>
      </c>
    </row>
    <row r="15" spans="1:20">
      <c r="A15" s="17"/>
      <c r="B15" s="17"/>
      <c r="C15" s="17"/>
      <c r="D15" s="17"/>
      <c r="E15" s="17"/>
      <c r="F15" s="17"/>
      <c r="G15" s="123">
        <f t="shared" si="0"/>
        <v>0</v>
      </c>
      <c r="H15" s="124">
        <f t="shared" si="3"/>
        <v>0</v>
      </c>
      <c r="I15" s="10"/>
      <c r="J15" s="10"/>
      <c r="K15" s="176">
        <f t="shared" si="1"/>
        <v>0</v>
      </c>
      <c r="L15" s="176">
        <f t="shared" si="2"/>
        <v>0</v>
      </c>
      <c r="M15" s="176">
        <f t="shared" si="4"/>
        <v>0</v>
      </c>
      <c r="N15" s="15">
        <v>0</v>
      </c>
      <c r="O15" s="125">
        <f t="shared" si="5"/>
        <v>0</v>
      </c>
      <c r="P15" s="15">
        <v>0</v>
      </c>
      <c r="Q15" s="126">
        <f t="shared" si="6"/>
        <v>0</v>
      </c>
    </row>
    <row r="16" spans="1:20">
      <c r="A16" s="17"/>
      <c r="B16" s="17"/>
      <c r="C16" s="17"/>
      <c r="D16" s="17"/>
      <c r="E16" s="17"/>
      <c r="F16" s="17"/>
      <c r="G16" s="123">
        <f t="shared" si="0"/>
        <v>0</v>
      </c>
      <c r="H16" s="124">
        <f t="shared" si="3"/>
        <v>0</v>
      </c>
      <c r="I16" s="10"/>
      <c r="J16" s="10"/>
      <c r="K16" s="176">
        <f t="shared" si="1"/>
        <v>0</v>
      </c>
      <c r="L16" s="176">
        <f t="shared" si="2"/>
        <v>0</v>
      </c>
      <c r="M16" s="176">
        <f t="shared" si="4"/>
        <v>0</v>
      </c>
      <c r="N16" s="15">
        <v>0</v>
      </c>
      <c r="O16" s="125">
        <f t="shared" si="5"/>
        <v>0</v>
      </c>
      <c r="P16" s="15">
        <v>0</v>
      </c>
      <c r="Q16" s="126">
        <f t="shared" si="6"/>
        <v>0</v>
      </c>
    </row>
    <row r="17" spans="1:19">
      <c r="A17" s="17"/>
      <c r="B17" s="17"/>
      <c r="C17" s="17"/>
      <c r="D17" s="17"/>
      <c r="E17" s="17"/>
      <c r="F17" s="17"/>
      <c r="G17" s="123">
        <f t="shared" si="0"/>
        <v>0</v>
      </c>
      <c r="H17" s="124">
        <f t="shared" si="3"/>
        <v>0</v>
      </c>
      <c r="I17" s="10"/>
      <c r="J17" s="10"/>
      <c r="K17" s="176">
        <f t="shared" si="1"/>
        <v>0</v>
      </c>
      <c r="L17" s="176">
        <f t="shared" si="2"/>
        <v>0</v>
      </c>
      <c r="M17" s="176">
        <f t="shared" si="4"/>
        <v>0</v>
      </c>
      <c r="N17" s="15">
        <v>0</v>
      </c>
      <c r="O17" s="125">
        <f t="shared" si="5"/>
        <v>0</v>
      </c>
      <c r="P17" s="15">
        <v>0</v>
      </c>
      <c r="Q17" s="126">
        <f t="shared" si="6"/>
        <v>0</v>
      </c>
    </row>
    <row r="18" spans="1:19">
      <c r="A18" s="17"/>
      <c r="B18" s="17"/>
      <c r="C18" s="17"/>
      <c r="D18" s="17"/>
      <c r="E18" s="17"/>
      <c r="F18" s="17"/>
      <c r="G18" s="123">
        <f t="shared" ref="G18" si="7">P18</f>
        <v>0</v>
      </c>
      <c r="H18" s="124">
        <f t="shared" ref="H18" si="8">Q18</f>
        <v>0</v>
      </c>
      <c r="I18" s="10"/>
      <c r="J18" s="10"/>
      <c r="K18" s="176">
        <f t="shared" si="1"/>
        <v>0</v>
      </c>
      <c r="L18" s="176">
        <f t="shared" si="2"/>
        <v>0</v>
      </c>
      <c r="M18" s="176">
        <f t="shared" ref="M18" si="9">K18+L18</f>
        <v>0</v>
      </c>
      <c r="N18" s="15">
        <v>0</v>
      </c>
      <c r="O18" s="125">
        <f t="shared" si="5"/>
        <v>0</v>
      </c>
      <c r="P18" s="15">
        <v>0</v>
      </c>
      <c r="Q18" s="126">
        <f t="shared" si="6"/>
        <v>0</v>
      </c>
    </row>
    <row r="19" spans="1:19">
      <c r="A19" s="11"/>
      <c r="B19" s="11"/>
      <c r="C19" s="11"/>
      <c r="D19" s="11"/>
      <c r="E19" s="11"/>
      <c r="F19" s="11"/>
      <c r="G19" s="11"/>
      <c r="H19" s="11"/>
      <c r="I19" s="11"/>
      <c r="J19" s="11"/>
      <c r="K19" s="11"/>
      <c r="L19" s="11"/>
      <c r="M19" s="9"/>
    </row>
    <row r="20" spans="1:19">
      <c r="A20" s="11"/>
      <c r="C20" s="11"/>
      <c r="D20" s="11"/>
      <c r="E20" s="11"/>
      <c r="F20" s="11"/>
      <c r="G20" s="11"/>
      <c r="H20" s="11"/>
      <c r="I20" s="11"/>
      <c r="J20" s="11"/>
      <c r="K20" s="12" t="s">
        <v>62</v>
      </c>
      <c r="L20" s="11"/>
      <c r="M20" s="11"/>
      <c r="N20" s="127">
        <f>SUM(M11:M19)</f>
        <v>60096</v>
      </c>
    </row>
    <row r="23" spans="1:19">
      <c r="A23" s="128" t="s">
        <v>63</v>
      </c>
      <c r="N23" s="202" t="s">
        <v>40</v>
      </c>
      <c r="O23" s="203"/>
      <c r="P23" s="203"/>
      <c r="Q23" s="204"/>
    </row>
    <row r="24" spans="1:19" ht="26.5">
      <c r="A24" s="6" t="s">
        <v>64</v>
      </c>
      <c r="B24" s="193" t="s">
        <v>46</v>
      </c>
      <c r="C24" s="194"/>
      <c r="D24" s="194"/>
      <c r="E24" s="194"/>
      <c r="F24" s="195"/>
      <c r="G24" s="6" t="s">
        <v>47</v>
      </c>
      <c r="H24" s="6" t="s">
        <v>48</v>
      </c>
      <c r="I24" s="6" t="s">
        <v>49</v>
      </c>
      <c r="J24" s="6" t="s">
        <v>50</v>
      </c>
      <c r="K24" s="6" t="s">
        <v>51</v>
      </c>
      <c r="L24" s="6" t="s">
        <v>52</v>
      </c>
      <c r="M24" s="6" t="s">
        <v>53</v>
      </c>
      <c r="N24" s="21" t="s">
        <v>54</v>
      </c>
      <c r="O24" s="21" t="s">
        <v>55</v>
      </c>
      <c r="P24" s="21" t="s">
        <v>56</v>
      </c>
      <c r="Q24" s="21" t="s">
        <v>57</v>
      </c>
      <c r="R24" s="21" t="s">
        <v>58</v>
      </c>
      <c r="S24" s="130">
        <f>S10</f>
        <v>0</v>
      </c>
    </row>
    <row r="25" spans="1:19">
      <c r="A25" s="16"/>
      <c r="B25" s="196"/>
      <c r="C25" s="197"/>
      <c r="D25" s="197"/>
      <c r="E25" s="197"/>
      <c r="F25" s="197"/>
      <c r="G25" s="123">
        <f t="shared" ref="G25:G31" si="10">P25</f>
        <v>80000</v>
      </c>
      <c r="H25" s="124">
        <f>Q25</f>
        <v>5.7693417181099633</v>
      </c>
      <c r="I25" s="10"/>
      <c r="J25" s="10"/>
      <c r="K25" s="176">
        <f>ROUND(N25*O25,0)</f>
        <v>38462</v>
      </c>
      <c r="L25" s="176">
        <f>ROUND(K25*$S$10,0)</f>
        <v>0</v>
      </c>
      <c r="M25" s="176">
        <f>K25+L25</f>
        <v>38462</v>
      </c>
      <c r="N25" s="15">
        <v>1000</v>
      </c>
      <c r="O25" s="125">
        <f>P25/2080</f>
        <v>38.46153846153846</v>
      </c>
      <c r="P25" s="15">
        <v>80000</v>
      </c>
      <c r="Q25" s="126">
        <f>N25/173.33</f>
        <v>5.7693417181099633</v>
      </c>
    </row>
    <row r="26" spans="1:19">
      <c r="A26" s="16"/>
      <c r="B26" s="196"/>
      <c r="C26" s="197"/>
      <c r="D26" s="197"/>
      <c r="E26" s="197"/>
      <c r="F26" s="197"/>
      <c r="G26" s="123">
        <f t="shared" si="10"/>
        <v>0</v>
      </c>
      <c r="H26" s="124">
        <f>Q26</f>
        <v>0</v>
      </c>
      <c r="I26" s="10"/>
      <c r="J26" s="10"/>
      <c r="K26" s="176">
        <f t="shared" ref="K26:K32" si="11">ROUND(N26*O26,0)</f>
        <v>0</v>
      </c>
      <c r="L26" s="176">
        <f t="shared" ref="L26:L32" si="12">ROUND(K26*$S$10,0)</f>
        <v>0</v>
      </c>
      <c r="M26" s="176">
        <f>K26+L26</f>
        <v>0</v>
      </c>
      <c r="N26" s="15">
        <v>0</v>
      </c>
      <c r="O26" s="125">
        <f>P26/2080</f>
        <v>0</v>
      </c>
      <c r="P26" s="15">
        <v>0</v>
      </c>
      <c r="Q26" s="126">
        <f>N26/173.33</f>
        <v>0</v>
      </c>
      <c r="S26" s="72" t="s">
        <v>61</v>
      </c>
    </row>
    <row r="27" spans="1:19">
      <c r="A27" s="17"/>
      <c r="B27" s="196"/>
      <c r="C27" s="197"/>
      <c r="D27" s="197"/>
      <c r="E27" s="197"/>
      <c r="F27" s="197"/>
      <c r="G27" s="123">
        <f t="shared" si="10"/>
        <v>0</v>
      </c>
      <c r="H27" s="124">
        <f t="shared" ref="H27:H31" si="13">Q27</f>
        <v>0</v>
      </c>
      <c r="I27" s="10"/>
      <c r="J27" s="10"/>
      <c r="K27" s="176">
        <f t="shared" si="11"/>
        <v>0</v>
      </c>
      <c r="L27" s="176">
        <f t="shared" si="12"/>
        <v>0</v>
      </c>
      <c r="M27" s="176">
        <f t="shared" ref="M27:M31" si="14">K27+L27</f>
        <v>0</v>
      </c>
      <c r="N27" s="15">
        <v>0</v>
      </c>
      <c r="O27" s="125">
        <f t="shared" ref="O27:O32" si="15">P27/2080</f>
        <v>0</v>
      </c>
      <c r="P27" s="15">
        <v>0</v>
      </c>
      <c r="Q27" s="126">
        <f t="shared" ref="Q27:Q32" si="16">N27/173.33</f>
        <v>0</v>
      </c>
    </row>
    <row r="28" spans="1:19">
      <c r="A28" s="17"/>
      <c r="B28" s="196"/>
      <c r="C28" s="198"/>
      <c r="D28" s="198"/>
      <c r="E28" s="198"/>
      <c r="F28" s="198"/>
      <c r="G28" s="123">
        <f t="shared" si="10"/>
        <v>0</v>
      </c>
      <c r="H28" s="124">
        <f t="shared" si="13"/>
        <v>0</v>
      </c>
      <c r="I28" s="10"/>
      <c r="J28" s="10"/>
      <c r="K28" s="176">
        <f t="shared" si="11"/>
        <v>0</v>
      </c>
      <c r="L28" s="176">
        <f t="shared" si="12"/>
        <v>0</v>
      </c>
      <c r="M28" s="176">
        <f t="shared" si="14"/>
        <v>0</v>
      </c>
      <c r="N28" s="15">
        <v>0</v>
      </c>
      <c r="O28" s="125">
        <f t="shared" si="15"/>
        <v>0</v>
      </c>
      <c r="P28" s="15">
        <v>0</v>
      </c>
      <c r="Q28" s="126">
        <f t="shared" si="16"/>
        <v>0</v>
      </c>
    </row>
    <row r="29" spans="1:19">
      <c r="A29" s="17"/>
      <c r="B29" s="196"/>
      <c r="C29" s="198"/>
      <c r="D29" s="198"/>
      <c r="E29" s="198"/>
      <c r="F29" s="198"/>
      <c r="G29" s="123">
        <f t="shared" si="10"/>
        <v>0</v>
      </c>
      <c r="H29" s="124">
        <f t="shared" si="13"/>
        <v>0</v>
      </c>
      <c r="I29" s="10"/>
      <c r="J29" s="10"/>
      <c r="K29" s="176">
        <f t="shared" si="11"/>
        <v>0</v>
      </c>
      <c r="L29" s="176">
        <f t="shared" si="12"/>
        <v>0</v>
      </c>
      <c r="M29" s="176">
        <f t="shared" si="14"/>
        <v>0</v>
      </c>
      <c r="N29" s="15">
        <v>0</v>
      </c>
      <c r="O29" s="125">
        <f t="shared" si="15"/>
        <v>0</v>
      </c>
      <c r="P29" s="15">
        <v>0</v>
      </c>
      <c r="Q29" s="126">
        <f t="shared" si="16"/>
        <v>0</v>
      </c>
    </row>
    <row r="30" spans="1:19">
      <c r="A30" s="17"/>
      <c r="B30" s="196"/>
      <c r="C30" s="198"/>
      <c r="D30" s="198"/>
      <c r="E30" s="198"/>
      <c r="F30" s="198"/>
      <c r="G30" s="123">
        <f t="shared" si="10"/>
        <v>0</v>
      </c>
      <c r="H30" s="124">
        <f t="shared" si="13"/>
        <v>0</v>
      </c>
      <c r="I30" s="10"/>
      <c r="J30" s="10"/>
      <c r="K30" s="176">
        <f t="shared" si="11"/>
        <v>0</v>
      </c>
      <c r="L30" s="176">
        <f t="shared" si="12"/>
        <v>0</v>
      </c>
      <c r="M30" s="176">
        <f t="shared" si="14"/>
        <v>0</v>
      </c>
      <c r="N30" s="15">
        <v>0</v>
      </c>
      <c r="O30" s="125">
        <f t="shared" si="15"/>
        <v>0</v>
      </c>
      <c r="P30" s="15">
        <v>0</v>
      </c>
      <c r="Q30" s="126">
        <f t="shared" si="16"/>
        <v>0</v>
      </c>
    </row>
    <row r="31" spans="1:19">
      <c r="A31" s="17"/>
      <c r="B31" s="196"/>
      <c r="C31" s="198"/>
      <c r="D31" s="198"/>
      <c r="E31" s="198"/>
      <c r="F31" s="198"/>
      <c r="G31" s="123">
        <f t="shared" si="10"/>
        <v>0</v>
      </c>
      <c r="H31" s="124">
        <f t="shared" si="13"/>
        <v>0</v>
      </c>
      <c r="I31" s="10"/>
      <c r="J31" s="10"/>
      <c r="K31" s="176">
        <f t="shared" si="11"/>
        <v>0</v>
      </c>
      <c r="L31" s="176">
        <f t="shared" si="12"/>
        <v>0</v>
      </c>
      <c r="M31" s="176">
        <f t="shared" si="14"/>
        <v>0</v>
      </c>
      <c r="N31" s="15">
        <v>0</v>
      </c>
      <c r="O31" s="125">
        <f t="shared" si="15"/>
        <v>0</v>
      </c>
      <c r="P31" s="15">
        <v>0</v>
      </c>
      <c r="Q31" s="126">
        <f t="shared" si="16"/>
        <v>0</v>
      </c>
    </row>
    <row r="32" spans="1:19">
      <c r="A32" s="17"/>
      <c r="B32" s="196"/>
      <c r="C32" s="198"/>
      <c r="D32" s="198"/>
      <c r="E32" s="198"/>
      <c r="F32" s="198"/>
      <c r="G32" s="123">
        <f t="shared" ref="G32" si="17">P32</f>
        <v>0</v>
      </c>
      <c r="H32" s="124">
        <f t="shared" ref="H32" si="18">Q32</f>
        <v>0</v>
      </c>
      <c r="I32" s="10"/>
      <c r="J32" s="10"/>
      <c r="K32" s="176">
        <f t="shared" si="11"/>
        <v>0</v>
      </c>
      <c r="L32" s="176">
        <f t="shared" si="12"/>
        <v>0</v>
      </c>
      <c r="M32" s="176">
        <f t="shared" ref="M32" si="19">K32+L32</f>
        <v>0</v>
      </c>
      <c r="N32" s="15">
        <v>0</v>
      </c>
      <c r="O32" s="125">
        <f t="shared" si="15"/>
        <v>0</v>
      </c>
      <c r="P32" s="15">
        <v>0</v>
      </c>
      <c r="Q32" s="126">
        <f t="shared" si="16"/>
        <v>0</v>
      </c>
    </row>
    <row r="33" spans="1:14">
      <c r="A33" s="11"/>
      <c r="B33" s="11"/>
      <c r="G33" s="11"/>
      <c r="H33" s="11"/>
      <c r="I33" s="11"/>
      <c r="J33" s="11"/>
      <c r="K33" s="11"/>
      <c r="L33" s="11"/>
      <c r="M33" s="9"/>
    </row>
    <row r="34" spans="1:14">
      <c r="A34" s="8">
        <f>SUM(A25:A32)</f>
        <v>0</v>
      </c>
      <c r="B34" s="12" t="s">
        <v>65</v>
      </c>
      <c r="G34" s="11"/>
      <c r="H34" s="11"/>
      <c r="I34" s="11"/>
      <c r="J34" s="11"/>
      <c r="K34" s="12" t="s">
        <v>66</v>
      </c>
      <c r="L34" s="11"/>
      <c r="M34" s="11"/>
      <c r="N34" s="127">
        <f>SUM(M25:M33)</f>
        <v>38462</v>
      </c>
    </row>
    <row r="36" spans="1:14">
      <c r="M36" s="131" t="s">
        <v>67</v>
      </c>
      <c r="N36" s="141">
        <f>ROUND((N20+N34),6)</f>
        <v>98558</v>
      </c>
    </row>
    <row r="38" spans="1:14">
      <c r="A38" s="12" t="s">
        <v>68</v>
      </c>
      <c r="B38" s="11"/>
      <c r="C38" s="11"/>
      <c r="D38" s="11"/>
      <c r="E38" s="11"/>
      <c r="F38" s="11"/>
      <c r="G38" s="11"/>
      <c r="H38" s="11"/>
      <c r="I38" s="11"/>
      <c r="J38" s="11"/>
      <c r="K38" s="11"/>
    </row>
    <row r="39" spans="1:14">
      <c r="A39" s="12"/>
      <c r="B39" s="11"/>
      <c r="C39" s="11"/>
      <c r="D39" s="11"/>
      <c r="E39" s="11"/>
      <c r="F39" s="11"/>
      <c r="G39" s="11"/>
      <c r="H39" s="11"/>
      <c r="I39" s="11"/>
      <c r="J39" s="11"/>
      <c r="K39" s="11"/>
      <c r="N39" s="132"/>
    </row>
    <row r="40" spans="1:14">
      <c r="A40" s="12"/>
      <c r="B40" s="12" t="s">
        <v>69</v>
      </c>
      <c r="C40" s="12"/>
      <c r="D40" s="12"/>
      <c r="E40" s="12"/>
      <c r="F40" s="12"/>
      <c r="G40" s="12"/>
      <c r="H40" s="12"/>
      <c r="I40" s="12"/>
      <c r="J40" s="12"/>
      <c r="K40" s="11"/>
    </row>
    <row r="41" spans="1:14">
      <c r="A41" s="12"/>
      <c r="B41" s="12" t="s">
        <v>70</v>
      </c>
      <c r="C41" s="12"/>
      <c r="D41" s="12"/>
      <c r="E41" s="12"/>
      <c r="F41" s="12"/>
      <c r="G41" s="12"/>
      <c r="H41" s="12"/>
      <c r="I41" s="12"/>
      <c r="J41" s="12"/>
      <c r="K41" s="11"/>
    </row>
    <row r="42" spans="1:14">
      <c r="A42" s="12"/>
      <c r="B42" s="12"/>
      <c r="C42" s="12"/>
      <c r="D42" s="12"/>
      <c r="E42" s="12"/>
      <c r="F42" s="12"/>
      <c r="G42" s="12"/>
      <c r="H42" s="12"/>
      <c r="I42" s="12"/>
      <c r="J42" s="12"/>
      <c r="K42" s="11"/>
    </row>
    <row r="43" spans="1:14" s="133" customFormat="1">
      <c r="A43" s="5"/>
      <c r="B43" s="5"/>
      <c r="C43" s="12" t="s">
        <v>71</v>
      </c>
      <c r="D43" s="5"/>
      <c r="E43" s="5"/>
      <c r="F43" s="5"/>
      <c r="G43" s="5"/>
      <c r="H43" s="5"/>
      <c r="I43" s="5"/>
      <c r="J43" s="12" t="s">
        <v>72</v>
      </c>
      <c r="K43" s="20"/>
    </row>
    <row r="44" spans="1:14">
      <c r="A44" s="11"/>
      <c r="B44" s="7">
        <v>1</v>
      </c>
      <c r="C44" s="190" t="s">
        <v>73</v>
      </c>
      <c r="D44" s="191"/>
      <c r="E44" s="191"/>
      <c r="F44" s="191"/>
      <c r="G44" s="191"/>
      <c r="H44" s="192"/>
      <c r="I44" s="11"/>
      <c r="J44" s="86"/>
      <c r="K44" s="11"/>
    </row>
    <row r="45" spans="1:14">
      <c r="A45" s="11"/>
      <c r="B45" s="7">
        <v>2</v>
      </c>
      <c r="C45" s="190"/>
      <c r="D45" s="191"/>
      <c r="E45" s="191"/>
      <c r="F45" s="191"/>
      <c r="G45" s="191"/>
      <c r="H45" s="192"/>
      <c r="I45" s="11"/>
      <c r="J45" s="86"/>
      <c r="K45" s="11"/>
    </row>
    <row r="46" spans="1:14">
      <c r="A46" s="11"/>
      <c r="B46" s="7">
        <v>3</v>
      </c>
      <c r="C46" s="190"/>
      <c r="D46" s="191"/>
      <c r="E46" s="191"/>
      <c r="F46" s="191"/>
      <c r="G46" s="191"/>
      <c r="H46" s="192"/>
      <c r="I46" s="11"/>
      <c r="J46" s="86"/>
      <c r="K46" s="11"/>
    </row>
    <row r="47" spans="1:14">
      <c r="A47" s="11"/>
      <c r="B47" s="7">
        <v>4</v>
      </c>
      <c r="C47" s="190"/>
      <c r="D47" s="191"/>
      <c r="E47" s="191"/>
      <c r="F47" s="191"/>
      <c r="G47" s="191"/>
      <c r="H47" s="192"/>
      <c r="I47" s="11"/>
      <c r="J47" s="86"/>
      <c r="K47" s="11"/>
    </row>
    <row r="48" spans="1:14">
      <c r="A48" s="11"/>
      <c r="B48" s="7">
        <v>5</v>
      </c>
      <c r="C48" s="190"/>
      <c r="D48" s="191"/>
      <c r="E48" s="191"/>
      <c r="F48" s="191"/>
      <c r="G48" s="191"/>
      <c r="H48" s="192"/>
      <c r="I48" s="11"/>
      <c r="J48" s="86"/>
      <c r="K48" s="11"/>
    </row>
    <row r="49" spans="1:12">
      <c r="A49" s="11"/>
      <c r="B49" s="7">
        <v>6</v>
      </c>
      <c r="C49" s="190"/>
      <c r="D49" s="191"/>
      <c r="E49" s="191"/>
      <c r="F49" s="191"/>
      <c r="G49" s="191"/>
      <c r="H49" s="192"/>
      <c r="I49" s="11"/>
      <c r="J49" s="86"/>
      <c r="K49" s="11"/>
    </row>
    <row r="50" spans="1:12">
      <c r="A50" s="11"/>
      <c r="B50" s="7">
        <v>7</v>
      </c>
      <c r="C50" s="190"/>
      <c r="D50" s="191"/>
      <c r="E50" s="191"/>
      <c r="F50" s="191"/>
      <c r="G50" s="191"/>
      <c r="H50" s="192"/>
      <c r="I50" s="11"/>
      <c r="J50" s="86"/>
      <c r="K50" s="11"/>
    </row>
    <row r="51" spans="1:12">
      <c r="A51" s="11"/>
      <c r="B51" s="7">
        <v>8</v>
      </c>
      <c r="C51" s="190"/>
      <c r="D51" s="191"/>
      <c r="E51" s="191"/>
      <c r="F51" s="191"/>
      <c r="G51" s="191"/>
      <c r="H51" s="192"/>
      <c r="I51" s="11"/>
      <c r="J51" s="86"/>
      <c r="K51" s="11"/>
    </row>
    <row r="52" spans="1:12">
      <c r="A52" s="11"/>
      <c r="B52" s="7">
        <v>9</v>
      </c>
      <c r="C52" s="190"/>
      <c r="D52" s="191"/>
      <c r="E52" s="191"/>
      <c r="F52" s="191"/>
      <c r="G52" s="191"/>
      <c r="H52" s="192"/>
      <c r="I52" s="11"/>
      <c r="J52" s="86"/>
      <c r="K52" s="11"/>
    </row>
    <row r="53" spans="1:12">
      <c r="A53" s="11"/>
      <c r="B53" s="7">
        <v>10</v>
      </c>
      <c r="C53" s="190"/>
      <c r="D53" s="191"/>
      <c r="E53" s="191"/>
      <c r="F53" s="191"/>
      <c r="G53" s="191"/>
      <c r="H53" s="192"/>
      <c r="I53" s="11"/>
      <c r="J53" s="86"/>
      <c r="K53" s="11"/>
    </row>
    <row r="54" spans="1:12">
      <c r="A54" s="11"/>
      <c r="B54" s="7"/>
      <c r="C54" s="11"/>
      <c r="D54" s="11"/>
      <c r="E54" s="11"/>
      <c r="F54" s="11"/>
      <c r="G54" s="11"/>
      <c r="H54" s="11"/>
      <c r="I54" s="11"/>
      <c r="J54" s="87"/>
      <c r="K54" s="11"/>
    </row>
    <row r="55" spans="1:12">
      <c r="A55" s="11"/>
      <c r="B55" s="11"/>
      <c r="C55" s="11"/>
      <c r="D55" s="11"/>
      <c r="E55" s="11"/>
      <c r="F55" s="11"/>
      <c r="G55" s="18" t="s">
        <v>74</v>
      </c>
      <c r="H55" s="11"/>
      <c r="I55" s="11"/>
      <c r="J55" s="127">
        <f>ROUND(SUM(J44:J54),0)</f>
        <v>0</v>
      </c>
      <c r="K55" s="11"/>
    </row>
    <row r="56" spans="1:12">
      <c r="A56" s="11"/>
      <c r="B56" s="11"/>
      <c r="C56" s="11"/>
      <c r="D56" s="11"/>
      <c r="E56" s="11"/>
      <c r="F56" s="11"/>
      <c r="G56" s="11"/>
      <c r="H56" s="11"/>
      <c r="I56" s="11"/>
      <c r="J56" s="11"/>
      <c r="K56" s="11"/>
    </row>
    <row r="57" spans="1:12">
      <c r="A57" s="11"/>
      <c r="B57" s="11"/>
      <c r="C57" s="11"/>
      <c r="D57" s="11"/>
      <c r="E57" s="11"/>
      <c r="F57" s="11"/>
      <c r="G57" s="11"/>
      <c r="H57" s="11"/>
      <c r="I57" s="11"/>
      <c r="J57" s="11"/>
      <c r="K57" s="11"/>
    </row>
    <row r="58" spans="1:12">
      <c r="A58" s="12"/>
      <c r="B58" s="12" t="s">
        <v>75</v>
      </c>
      <c r="C58" s="12"/>
      <c r="D58" s="12"/>
      <c r="E58" s="12"/>
      <c r="F58" s="12"/>
      <c r="G58" s="12"/>
      <c r="H58" s="12"/>
      <c r="I58" s="12"/>
      <c r="J58" s="12" t="s">
        <v>76</v>
      </c>
      <c r="K58" s="11"/>
    </row>
    <row r="59" spans="1:12">
      <c r="A59" s="12"/>
      <c r="B59" s="12">
        <v>1</v>
      </c>
      <c r="C59" s="12" t="s">
        <v>77</v>
      </c>
      <c r="D59" s="12"/>
      <c r="E59" s="12"/>
      <c r="F59" s="12"/>
      <c r="G59" s="12"/>
      <c r="H59" s="12"/>
      <c r="I59" s="12"/>
      <c r="J59" s="88">
        <f>'Travel BOE'!L11</f>
        <v>1534</v>
      </c>
      <c r="K59" s="11" t="s">
        <v>78</v>
      </c>
      <c r="L59" s="72" t="s">
        <v>79</v>
      </c>
    </row>
    <row r="60" spans="1:12">
      <c r="A60" s="12"/>
      <c r="B60" s="12">
        <v>2</v>
      </c>
      <c r="C60" s="12" t="s">
        <v>80</v>
      </c>
      <c r="D60" s="12"/>
      <c r="E60" s="12"/>
      <c r="F60" s="12"/>
      <c r="G60" s="12"/>
      <c r="H60" s="12"/>
      <c r="I60" s="12"/>
      <c r="J60" s="22"/>
      <c r="K60" s="11"/>
    </row>
    <row r="61" spans="1:12">
      <c r="A61" s="12"/>
      <c r="B61" s="12"/>
      <c r="C61" s="12"/>
      <c r="D61" s="12"/>
      <c r="E61" s="12"/>
      <c r="F61" s="12"/>
      <c r="G61" s="12"/>
      <c r="H61" s="12" t="s">
        <v>81</v>
      </c>
      <c r="I61" s="12"/>
      <c r="J61" s="127">
        <f>ROUND(SUM(J59:J60),0)</f>
        <v>1534</v>
      </c>
      <c r="K61" s="11"/>
    </row>
    <row r="62" spans="1:12">
      <c r="A62" s="11"/>
      <c r="B62" s="11"/>
      <c r="C62" s="11"/>
      <c r="D62" s="11"/>
      <c r="E62" s="11"/>
      <c r="F62" s="11"/>
      <c r="G62" s="11"/>
      <c r="H62" s="11"/>
      <c r="I62" s="11"/>
      <c r="J62" s="19"/>
      <c r="K62" s="11"/>
    </row>
    <row r="63" spans="1:12">
      <c r="A63" s="11"/>
      <c r="B63" s="11"/>
      <c r="C63" s="11"/>
      <c r="D63" s="11"/>
      <c r="E63" s="11"/>
      <c r="F63" s="11"/>
      <c r="G63" s="11"/>
      <c r="H63" s="11"/>
      <c r="I63" s="11"/>
      <c r="J63" s="19"/>
      <c r="K63" s="11"/>
    </row>
    <row r="64" spans="1:12">
      <c r="A64" s="12"/>
      <c r="B64" s="77" t="s">
        <v>82</v>
      </c>
      <c r="C64" s="77"/>
      <c r="D64" s="77"/>
      <c r="E64" s="77"/>
      <c r="F64" s="77"/>
      <c r="G64" s="77"/>
      <c r="H64" s="77"/>
      <c r="I64" s="77"/>
      <c r="J64" s="78" t="s">
        <v>76</v>
      </c>
      <c r="K64" s="11"/>
    </row>
    <row r="65" spans="1:11">
      <c r="A65" s="11"/>
      <c r="B65" s="79" t="s">
        <v>83</v>
      </c>
      <c r="C65" s="80"/>
      <c r="D65" s="80"/>
      <c r="E65" s="80"/>
      <c r="F65" s="80"/>
      <c r="G65" s="80"/>
      <c r="H65" s="81"/>
      <c r="I65" s="82"/>
      <c r="J65" s="83"/>
    </row>
    <row r="66" spans="1:11">
      <c r="A66" s="11"/>
      <c r="B66" s="79" t="s">
        <v>84</v>
      </c>
      <c r="C66" s="80"/>
      <c r="D66" s="80"/>
      <c r="E66" s="80"/>
      <c r="F66" s="80"/>
      <c r="G66" s="80"/>
      <c r="H66" s="81"/>
      <c r="I66" s="82"/>
      <c r="J66" s="83"/>
    </row>
    <row r="67" spans="1:11">
      <c r="A67" s="11"/>
      <c r="B67" s="79" t="s">
        <v>23</v>
      </c>
      <c r="C67" s="80"/>
      <c r="D67" s="80"/>
      <c r="E67" s="80"/>
      <c r="F67" s="80"/>
      <c r="G67" s="80"/>
      <c r="H67" s="81"/>
      <c r="I67" s="82"/>
      <c r="J67" s="83"/>
    </row>
    <row r="68" spans="1:11">
      <c r="A68" s="11"/>
      <c r="B68" s="79" t="s">
        <v>85</v>
      </c>
      <c r="C68" s="80"/>
      <c r="D68" s="80"/>
      <c r="E68" s="80"/>
      <c r="F68" s="80"/>
      <c r="G68" s="80"/>
      <c r="H68" s="81"/>
      <c r="I68" s="82"/>
      <c r="J68" s="83"/>
    </row>
    <row r="69" spans="1:11">
      <c r="A69" s="11"/>
      <c r="B69" s="79" t="s">
        <v>30</v>
      </c>
      <c r="C69" s="80"/>
      <c r="D69" s="80"/>
      <c r="E69" s="80"/>
      <c r="F69" s="80"/>
      <c r="G69" s="80"/>
      <c r="H69" s="81"/>
      <c r="I69" s="82"/>
      <c r="J69" s="83"/>
    </row>
    <row r="70" spans="1:11">
      <c r="A70" s="11"/>
      <c r="B70" s="84"/>
      <c r="C70" s="77" t="s">
        <v>86</v>
      </c>
      <c r="D70" s="83"/>
      <c r="E70" s="83"/>
      <c r="F70" s="83"/>
      <c r="G70" s="77" t="s">
        <v>87</v>
      </c>
      <c r="H70" s="83"/>
      <c r="I70" s="83"/>
      <c r="J70" s="85">
        <f>SUM(I65:I69)</f>
        <v>0</v>
      </c>
      <c r="K70" s="11"/>
    </row>
    <row r="73" spans="1:11">
      <c r="A73" s="12" t="s">
        <v>88</v>
      </c>
      <c r="B73" s="11"/>
      <c r="C73" s="11"/>
      <c r="D73" s="11"/>
      <c r="E73" s="11"/>
      <c r="F73" s="11"/>
      <c r="G73" s="11"/>
      <c r="H73" s="11"/>
      <c r="I73" s="11"/>
    </row>
    <row r="74" spans="1:11">
      <c r="A74" s="11"/>
      <c r="B74" s="11"/>
      <c r="C74" s="11"/>
      <c r="D74" s="11"/>
      <c r="E74" s="11"/>
      <c r="F74" s="11"/>
      <c r="G74" s="11"/>
      <c r="H74" s="11"/>
      <c r="I74" s="11"/>
    </row>
    <row r="75" spans="1:11">
      <c r="A75" s="12"/>
      <c r="B75" s="12" t="s">
        <v>89</v>
      </c>
      <c r="C75" s="12"/>
      <c r="D75" s="12"/>
      <c r="E75" s="12"/>
      <c r="F75" s="12"/>
      <c r="G75" s="12"/>
      <c r="H75" s="12" t="s">
        <v>72</v>
      </c>
    </row>
    <row r="76" spans="1:11">
      <c r="A76" s="11">
        <v>1</v>
      </c>
      <c r="B76" s="199" t="s">
        <v>90</v>
      </c>
      <c r="C76" s="200"/>
      <c r="D76" s="200"/>
      <c r="E76" s="200"/>
      <c r="F76" s="200"/>
      <c r="G76" s="201"/>
      <c r="H76" s="86">
        <f>'Material BOE'!D18</f>
        <v>17299.8</v>
      </c>
      <c r="I76" s="14" t="s">
        <v>91</v>
      </c>
      <c r="J76" s="72" t="s">
        <v>92</v>
      </c>
    </row>
    <row r="77" spans="1:11">
      <c r="A77" s="11">
        <v>2</v>
      </c>
      <c r="B77" s="199" t="s">
        <v>93</v>
      </c>
      <c r="C77" s="200"/>
      <c r="D77" s="200"/>
      <c r="E77" s="200"/>
      <c r="F77" s="200"/>
      <c r="G77" s="201"/>
      <c r="H77" s="86">
        <v>0</v>
      </c>
    </row>
    <row r="78" spans="1:11">
      <c r="A78" s="11">
        <v>3</v>
      </c>
      <c r="B78" s="199" t="s">
        <v>94</v>
      </c>
      <c r="C78" s="200"/>
      <c r="D78" s="200"/>
      <c r="E78" s="200"/>
      <c r="F78" s="200"/>
      <c r="G78" s="201"/>
      <c r="H78" s="86">
        <v>0</v>
      </c>
    </row>
    <row r="79" spans="1:11">
      <c r="A79" s="11">
        <v>4</v>
      </c>
      <c r="B79" s="199" t="s">
        <v>95</v>
      </c>
      <c r="C79" s="200"/>
      <c r="D79" s="200"/>
      <c r="E79" s="200"/>
      <c r="F79" s="200"/>
      <c r="G79" s="201"/>
      <c r="H79" s="86">
        <v>0</v>
      </c>
      <c r="I79" s="134"/>
    </row>
    <row r="80" spans="1:11">
      <c r="A80" s="174" t="s">
        <v>96</v>
      </c>
      <c r="B80" s="199" t="s">
        <v>97</v>
      </c>
      <c r="C80" s="200"/>
      <c r="D80" s="200"/>
      <c r="E80" s="200"/>
      <c r="F80" s="200"/>
      <c r="G80" s="201"/>
      <c r="H80" s="86">
        <v>45000</v>
      </c>
      <c r="I80" s="14" t="s">
        <v>91</v>
      </c>
      <c r="J80" s="72" t="s">
        <v>98</v>
      </c>
    </row>
    <row r="81" spans="1:11">
      <c r="A81" s="174" t="s">
        <v>99</v>
      </c>
      <c r="B81" s="120" t="s">
        <v>100</v>
      </c>
      <c r="C81" s="121"/>
      <c r="D81" s="121"/>
      <c r="E81" s="121"/>
      <c r="F81" s="121"/>
      <c r="G81" s="122"/>
      <c r="H81" s="86">
        <v>0</v>
      </c>
      <c r="J81" s="137">
        <f>H80+H81</f>
        <v>45000</v>
      </c>
      <c r="K81" s="14" t="s">
        <v>101</v>
      </c>
    </row>
    <row r="82" spans="1:11">
      <c r="A82" s="11">
        <v>6</v>
      </c>
      <c r="B82" s="199" t="s">
        <v>102</v>
      </c>
      <c r="C82" s="200"/>
      <c r="D82" s="200"/>
      <c r="E82" s="200"/>
      <c r="F82" s="200"/>
      <c r="G82" s="201"/>
      <c r="H82" s="86">
        <v>0</v>
      </c>
    </row>
    <row r="83" spans="1:11">
      <c r="A83" s="11">
        <v>7</v>
      </c>
      <c r="B83" s="199" t="s">
        <v>103</v>
      </c>
      <c r="C83" s="200"/>
      <c r="D83" s="200"/>
      <c r="E83" s="200"/>
      <c r="F83" s="200"/>
      <c r="G83" s="201"/>
      <c r="H83" s="86">
        <v>0</v>
      </c>
    </row>
    <row r="84" spans="1:11">
      <c r="A84" s="11">
        <v>3</v>
      </c>
      <c r="B84" s="199" t="s">
        <v>104</v>
      </c>
      <c r="C84" s="200"/>
      <c r="D84" s="200"/>
      <c r="E84" s="200"/>
      <c r="F84" s="200"/>
      <c r="G84" s="201"/>
      <c r="H84" s="86">
        <v>0</v>
      </c>
    </row>
    <row r="85" spans="1:11">
      <c r="A85" s="11">
        <v>9</v>
      </c>
      <c r="B85" s="199" t="s">
        <v>105</v>
      </c>
      <c r="C85" s="200"/>
      <c r="D85" s="200"/>
      <c r="E85" s="200"/>
      <c r="F85" s="200"/>
      <c r="G85" s="201"/>
      <c r="H85" s="86">
        <v>0</v>
      </c>
    </row>
    <row r="86" spans="1:11">
      <c r="A86" s="11">
        <v>10</v>
      </c>
      <c r="B86" s="199" t="s">
        <v>30</v>
      </c>
      <c r="C86" s="200"/>
      <c r="D86" s="200"/>
      <c r="E86" s="200"/>
      <c r="F86" s="200"/>
      <c r="G86" s="201"/>
      <c r="H86" s="86">
        <v>0</v>
      </c>
    </row>
    <row r="87" spans="1:11">
      <c r="A87" s="11"/>
      <c r="B87" s="11"/>
      <c r="C87" s="11"/>
      <c r="D87" s="11"/>
      <c r="E87" s="11"/>
      <c r="F87" s="12" t="s">
        <v>106</v>
      </c>
      <c r="G87" s="11"/>
      <c r="H87" s="11"/>
      <c r="I87" s="127">
        <f>ROUND(SUM(H76:H86),0)</f>
        <v>62300</v>
      </c>
    </row>
    <row r="88" spans="1:11">
      <c r="A88" s="11"/>
      <c r="B88" s="11"/>
      <c r="C88" s="11"/>
      <c r="D88" s="11"/>
      <c r="E88" s="11"/>
      <c r="F88" s="11"/>
      <c r="G88" s="11"/>
      <c r="H88" s="11"/>
      <c r="I88" s="11"/>
    </row>
    <row r="89" spans="1:11">
      <c r="A89" s="11"/>
      <c r="B89" s="11"/>
      <c r="C89" s="11"/>
      <c r="D89" s="11"/>
      <c r="E89" s="11"/>
      <c r="F89" s="11"/>
      <c r="G89" s="11"/>
      <c r="H89" s="11"/>
      <c r="I89" s="11"/>
    </row>
    <row r="90" spans="1:11">
      <c r="A90" s="11"/>
      <c r="B90" s="11"/>
      <c r="C90" s="11"/>
      <c r="D90" s="11"/>
      <c r="E90" s="11"/>
      <c r="F90" s="11"/>
      <c r="G90" s="11"/>
      <c r="H90" s="11"/>
      <c r="I90" s="11"/>
    </row>
    <row r="91" spans="1:11">
      <c r="A91" s="12"/>
      <c r="B91" s="12" t="s">
        <v>107</v>
      </c>
      <c r="C91" s="11"/>
      <c r="D91" s="12"/>
      <c r="E91" s="12"/>
      <c r="F91" s="12"/>
      <c r="G91" s="12"/>
      <c r="H91" s="12"/>
      <c r="I91" s="12" t="s">
        <v>72</v>
      </c>
    </row>
    <row r="92" spans="1:11">
      <c r="A92" s="12"/>
      <c r="B92" s="12"/>
      <c r="C92" s="12"/>
      <c r="D92" s="12"/>
      <c r="E92" s="12"/>
      <c r="F92" s="12" t="s">
        <v>108</v>
      </c>
      <c r="G92" s="12"/>
      <c r="H92" s="12"/>
      <c r="I92" s="127">
        <f>N36+J55+J61+J70+I87</f>
        <v>162392</v>
      </c>
      <c r="J92" s="135"/>
      <c r="K92" s="135"/>
    </row>
    <row r="94" spans="1:11">
      <c r="A94" s="12"/>
      <c r="B94" s="12" t="s">
        <v>109</v>
      </c>
      <c r="C94" s="12"/>
      <c r="D94" s="12"/>
      <c r="E94" s="12"/>
      <c r="F94" s="12"/>
      <c r="G94" s="12"/>
      <c r="H94" s="12"/>
      <c r="I94" s="12"/>
      <c r="J94" s="12"/>
    </row>
    <row r="95" spans="1:11">
      <c r="A95" s="12"/>
      <c r="B95" s="23"/>
      <c r="C95" s="205" t="s">
        <v>110</v>
      </c>
      <c r="D95" s="205"/>
      <c r="E95" s="205"/>
      <c r="F95" s="5" t="s">
        <v>111</v>
      </c>
      <c r="G95" s="205" t="s">
        <v>112</v>
      </c>
      <c r="H95" s="205"/>
      <c r="I95" s="12" t="s">
        <v>76</v>
      </c>
      <c r="J95" s="12"/>
    </row>
    <row r="96" spans="1:11">
      <c r="A96" s="11"/>
      <c r="B96" s="7">
        <v>1</v>
      </c>
      <c r="C96" s="190" t="s">
        <v>113</v>
      </c>
      <c r="D96" s="191"/>
      <c r="E96" s="192"/>
      <c r="F96" s="118">
        <v>0.2</v>
      </c>
      <c r="G96" s="206">
        <f>I92</f>
        <v>162392</v>
      </c>
      <c r="H96" s="207"/>
      <c r="I96" s="87">
        <f>G96*F96</f>
        <v>32478.400000000001</v>
      </c>
      <c r="J96" s="11"/>
    </row>
    <row r="97" spans="1:10">
      <c r="A97" s="11"/>
      <c r="B97" s="7">
        <v>2</v>
      </c>
      <c r="C97" s="199"/>
      <c r="D97" s="200"/>
      <c r="E97" s="201"/>
      <c r="F97" s="8"/>
      <c r="G97" s="199"/>
      <c r="H97" s="201"/>
      <c r="I97" s="8"/>
      <c r="J97" s="11"/>
    </row>
    <row r="98" spans="1:10">
      <c r="A98" s="11"/>
      <c r="B98" s="7">
        <v>3</v>
      </c>
      <c r="C98" s="199"/>
      <c r="D98" s="200"/>
      <c r="E98" s="201"/>
      <c r="F98" s="8"/>
      <c r="G98" s="199"/>
      <c r="H98" s="201"/>
      <c r="I98" s="8"/>
      <c r="J98" s="11"/>
    </row>
    <row r="99" spans="1:10">
      <c r="A99" s="11"/>
      <c r="B99" s="7">
        <v>4</v>
      </c>
      <c r="C99" s="199"/>
      <c r="D99" s="200"/>
      <c r="E99" s="201"/>
      <c r="F99" s="8"/>
      <c r="G99" s="199"/>
      <c r="H99" s="201"/>
      <c r="I99" s="8"/>
      <c r="J99" s="11"/>
    </row>
    <row r="100" spans="1:10">
      <c r="A100" s="11"/>
      <c r="B100" s="11"/>
      <c r="C100" s="11"/>
      <c r="D100" s="11"/>
      <c r="E100" s="11"/>
      <c r="F100" s="11"/>
      <c r="G100" s="12" t="s">
        <v>114</v>
      </c>
      <c r="H100" s="11"/>
      <c r="I100" s="127">
        <f>ROUND(SUM(I96:I99),0)</f>
        <v>32478</v>
      </c>
      <c r="J100" s="11"/>
    </row>
    <row r="101" spans="1:10">
      <c r="A101" s="11"/>
      <c r="B101" s="11"/>
      <c r="C101" s="11"/>
      <c r="D101" s="11"/>
      <c r="E101" s="11"/>
      <c r="F101" s="11"/>
      <c r="G101" s="11"/>
      <c r="H101" s="11"/>
      <c r="I101" s="11"/>
      <c r="J101" s="11"/>
    </row>
    <row r="102" spans="1:10">
      <c r="A102" s="11"/>
      <c r="B102" s="11"/>
      <c r="C102" s="11"/>
      <c r="D102" s="11"/>
      <c r="E102" s="11"/>
      <c r="F102" s="11"/>
      <c r="G102" s="11"/>
      <c r="H102" s="11"/>
      <c r="I102" s="11"/>
      <c r="J102" s="11"/>
    </row>
    <row r="103" spans="1:10">
      <c r="A103" s="12"/>
      <c r="B103" s="12" t="s">
        <v>115</v>
      </c>
      <c r="C103" s="12"/>
      <c r="D103" s="12"/>
      <c r="E103" s="12"/>
      <c r="F103" s="12"/>
      <c r="G103" s="12"/>
      <c r="H103" s="12"/>
      <c r="I103" s="12" t="s">
        <v>76</v>
      </c>
      <c r="J103" s="12"/>
    </row>
    <row r="104" spans="1:10">
      <c r="A104" s="12"/>
      <c r="B104" s="12"/>
      <c r="C104" s="12" t="s">
        <v>116</v>
      </c>
      <c r="D104" s="12"/>
      <c r="E104" s="12"/>
      <c r="F104" s="12"/>
      <c r="G104" s="12"/>
      <c r="H104" s="12"/>
      <c r="I104" s="127">
        <f>I92+I100</f>
        <v>194870</v>
      </c>
      <c r="J104" s="12"/>
    </row>
    <row r="105" spans="1:10">
      <c r="A105" s="11"/>
      <c r="B105" s="11"/>
      <c r="C105" s="11"/>
      <c r="D105" s="11"/>
      <c r="E105" s="11"/>
      <c r="F105" s="11"/>
      <c r="G105" s="11"/>
      <c r="H105" s="11"/>
      <c r="I105" s="11"/>
      <c r="J105" s="11"/>
    </row>
    <row r="106" spans="1:10">
      <c r="A106" s="11"/>
      <c r="B106" s="11"/>
      <c r="C106" s="11"/>
      <c r="D106" s="11"/>
      <c r="E106" s="11"/>
      <c r="F106" s="11"/>
      <c r="G106" s="11"/>
      <c r="H106" s="11"/>
      <c r="I106" s="12" t="s">
        <v>76</v>
      </c>
      <c r="J106" s="11"/>
    </row>
    <row r="107" spans="1:10">
      <c r="A107" s="12"/>
      <c r="B107" s="12" t="s">
        <v>117</v>
      </c>
      <c r="C107" s="24">
        <v>7.0000000000000007E-2</v>
      </c>
      <c r="D107" s="12"/>
      <c r="E107" s="12"/>
      <c r="F107" s="12" t="s">
        <v>118</v>
      </c>
      <c r="G107" s="12"/>
      <c r="H107" s="12"/>
      <c r="I107" s="127">
        <f>ROUND(I104*C107,0)</f>
        <v>13641</v>
      </c>
      <c r="J107" s="12"/>
    </row>
    <row r="108" spans="1:10">
      <c r="A108" s="11"/>
      <c r="B108" s="11"/>
      <c r="C108" s="11"/>
      <c r="D108" s="11"/>
      <c r="E108" s="11"/>
      <c r="F108" s="11"/>
      <c r="G108" s="11"/>
      <c r="H108" s="11"/>
      <c r="J108" s="11"/>
    </row>
    <row r="109" spans="1:10" ht="15" thickBot="1"/>
    <row r="110" spans="1:10" ht="18.5" thickBot="1">
      <c r="B110" s="12" t="s">
        <v>119</v>
      </c>
      <c r="H110" s="136"/>
      <c r="I110" s="175">
        <f>ROUND((I104+I107),0)</f>
        <v>208511</v>
      </c>
      <c r="J110" s="14" t="s">
        <v>3</v>
      </c>
    </row>
    <row r="111" spans="1:10">
      <c r="H111" s="135"/>
      <c r="I111" s="138" t="s">
        <v>120</v>
      </c>
    </row>
    <row r="113" spans="2:3">
      <c r="B113" s="128" t="s">
        <v>121</v>
      </c>
    </row>
    <row r="114" spans="2:3">
      <c r="B114" s="14" t="s">
        <v>122</v>
      </c>
    </row>
    <row r="115" spans="2:3">
      <c r="B115" s="131" t="s">
        <v>123</v>
      </c>
      <c r="C115" s="139">
        <f>SUM(L11:L18)+SUM(L25:L32)</f>
        <v>0</v>
      </c>
    </row>
    <row r="116" spans="2:3">
      <c r="B116" s="131" t="s">
        <v>9</v>
      </c>
      <c r="C116" s="137">
        <f>I96</f>
        <v>32478.400000000001</v>
      </c>
    </row>
    <row r="117" spans="2:3">
      <c r="B117" s="131" t="s">
        <v>124</v>
      </c>
      <c r="C117" s="137">
        <f>SUM(K11:K18)+SUM(K25:K32)</f>
        <v>98558</v>
      </c>
    </row>
    <row r="118" spans="2:3">
      <c r="B118" s="131" t="s">
        <v>125</v>
      </c>
      <c r="C118" s="140">
        <f>(C115+C116)/C117</f>
        <v>0.32953590779033665</v>
      </c>
    </row>
  </sheetData>
  <sheetProtection algorithmName="SHA-512" hashValue="RgRIoZizxoDDE9zjIfuU9OSkAs+WAhjRzHxiQQWPD8hi+0UUS5z+IReXvSVgos4saODx2UkpN/Yl2s1687lqTw==" saltValue="OcmHB+m+hMz1TWcdlw/Kww==" spinCount="100000" sheet="1" selectLockedCells="1"/>
  <mergeCells count="41">
    <mergeCell ref="C98:E98"/>
    <mergeCell ref="G98:H98"/>
    <mergeCell ref="C99:E99"/>
    <mergeCell ref="G99:H99"/>
    <mergeCell ref="B86:G86"/>
    <mergeCell ref="C95:E95"/>
    <mergeCell ref="G95:H95"/>
    <mergeCell ref="C96:E96"/>
    <mergeCell ref="G96:H96"/>
    <mergeCell ref="C97:E97"/>
    <mergeCell ref="G97:H97"/>
    <mergeCell ref="B79:G79"/>
    <mergeCell ref="B80:G80"/>
    <mergeCell ref="B82:G82"/>
    <mergeCell ref="B83:G83"/>
    <mergeCell ref="B84:G84"/>
    <mergeCell ref="B85:G85"/>
    <mergeCell ref="C53:H53"/>
    <mergeCell ref="N9:Q9"/>
    <mergeCell ref="N23:Q23"/>
    <mergeCell ref="B76:G76"/>
    <mergeCell ref="B77:G77"/>
    <mergeCell ref="B78:G78"/>
    <mergeCell ref="C47:H47"/>
    <mergeCell ref="C48:H48"/>
    <mergeCell ref="C49:H49"/>
    <mergeCell ref="C50:H50"/>
    <mergeCell ref="C51:H51"/>
    <mergeCell ref="C52:H52"/>
    <mergeCell ref="B30:F30"/>
    <mergeCell ref="B31:F31"/>
    <mergeCell ref="B32:F32"/>
    <mergeCell ref="C44:H44"/>
    <mergeCell ref="C45:H45"/>
    <mergeCell ref="C46:H46"/>
    <mergeCell ref="B24:F24"/>
    <mergeCell ref="B25:F25"/>
    <mergeCell ref="B26:F26"/>
    <mergeCell ref="B27:F27"/>
    <mergeCell ref="B28:F28"/>
    <mergeCell ref="B29:F29"/>
  </mergeCells>
  <hyperlinks>
    <hyperlink ref="S12" location="'Labor BOE'!A1" display="See Labor BOE tab for labor rates" xr:uid="{00000000-0004-0000-0100-000000000000}"/>
    <hyperlink ref="S26" location="'Labor BOE'!A1" display="See Labor BOE tab for labor rates" xr:uid="{00000000-0004-0000-0100-000001000000}"/>
    <hyperlink ref="J80" location="SubBudget!A1" display="See SubBudget tab for budget limitations" xr:uid="{00000000-0004-0000-0100-000002000000}"/>
    <hyperlink ref="L59" location="'Travel BOE'!A1" display="Linked to Travel BOE tab calculator" xr:uid="{00000000-0004-0000-0100-000003000000}"/>
    <hyperlink ref="J76" location="'Material BOE'!A1" display="Linked to Material BOE tab" xr:uid="{00000000-0004-0000-0100-000004000000}"/>
    <hyperlink ref="I111" location="'LOE worksheet'!A1" display="Check Budget against New LOE Worksheet" xr:uid="{00000000-0004-0000-0100-000005000000}"/>
  </hyperlinks>
  <pageMargins left="0.7" right="0.7" top="0.75" bottom="0.75" header="0.3" footer="0.3"/>
  <pageSetup orientation="portrait" r:id="rId1"/>
  <ignoredErrors>
    <ignoredError sqref="G12 Q11:Q18 H13:J17 J70 H11 H12:J12 J11"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7"/>
  <sheetViews>
    <sheetView zoomScale="120" zoomScaleNormal="120" workbookViewId="0">
      <selection activeCell="E12" sqref="E12"/>
    </sheetView>
  </sheetViews>
  <sheetFormatPr defaultColWidth="8.7265625" defaultRowHeight="12.5"/>
  <cols>
    <col min="1" max="1" width="56.26953125" style="55" customWidth="1"/>
    <col min="2" max="2" width="12.453125" style="55" customWidth="1"/>
    <col min="3" max="16384" width="8.7265625" style="55"/>
  </cols>
  <sheetData>
    <row r="1" spans="1:3" ht="13">
      <c r="A1" s="54"/>
      <c r="B1" s="54"/>
    </row>
    <row r="2" spans="1:3" ht="14.5">
      <c r="A2" s="56" t="s">
        <v>126</v>
      </c>
      <c r="B2" s="57"/>
    </row>
    <row r="3" spans="1:3" ht="14.5">
      <c r="A3" s="58" t="s">
        <v>127</v>
      </c>
      <c r="B3" s="59">
        <f>'SF-424_RR-Budget-(RAversion)'!I110</f>
        <v>208511</v>
      </c>
    </row>
    <row r="4" spans="1:3" ht="29.5" thickBot="1">
      <c r="A4" s="60" t="s">
        <v>128</v>
      </c>
      <c r="B4" s="61">
        <f>'SF-424_RR-Budget-(RAversion)'!H78+'SF-424_RR-Budget-(RAversion)'!H80+'SF-424_RR-Budget-(RAversion)'!H84+'SF-424_RR-Budget-(RAversion)'!H85+'SF-424_RR-Budget-(RAversion)'!H86+'SF-424_RR-Budget-(RAversion)'!H81</f>
        <v>45000</v>
      </c>
    </row>
    <row r="5" spans="1:3" ht="14.5">
      <c r="A5" s="62" t="s">
        <v>129</v>
      </c>
      <c r="B5" s="208">
        <f>(B3-B4)/B3</f>
        <v>0.78418404784399864</v>
      </c>
    </row>
    <row r="6" spans="1:3" ht="15" thickBot="1">
      <c r="A6" s="63" t="s">
        <v>130</v>
      </c>
      <c r="B6" s="209"/>
    </row>
    <row r="7" spans="1:3" ht="14.5">
      <c r="A7" s="64"/>
      <c r="B7" s="65"/>
    </row>
    <row r="8" spans="1:3" ht="14.5">
      <c r="A8" s="56" t="s">
        <v>131</v>
      </c>
      <c r="B8" s="57"/>
    </row>
    <row r="9" spans="1:3" ht="14.5">
      <c r="A9" s="58" t="s">
        <v>132</v>
      </c>
      <c r="B9" s="66">
        <f>B3</f>
        <v>208511</v>
      </c>
    </row>
    <row r="10" spans="1:3" ht="29">
      <c r="A10" s="67" t="s">
        <v>133</v>
      </c>
      <c r="B10" s="66">
        <f>'SF-424_RR-Budget-(RAversion)'!H80</f>
        <v>45000</v>
      </c>
    </row>
    <row r="11" spans="1:3" ht="29.5" thickBot="1">
      <c r="A11" s="60" t="s">
        <v>134</v>
      </c>
      <c r="B11" s="68">
        <f>'SF-424_RR-Budget-(RAversion)'!H78+'SF-424_RR-Budget-(RAversion)'!H84+'SF-424_RR-Budget-(RAversion)'!H85+'SF-424_RR-Budget-(RAversion)'!H86+'SF-424_RR-Budget-(RAversion)'!H81</f>
        <v>0</v>
      </c>
    </row>
    <row r="12" spans="1:3" ht="14.5">
      <c r="A12" s="69" t="s">
        <v>135</v>
      </c>
      <c r="B12" s="208">
        <f>(B9-B10-B11)/B9</f>
        <v>0.78418404784399864</v>
      </c>
    </row>
    <row r="13" spans="1:3" ht="15" thickBot="1">
      <c r="A13" s="70" t="s">
        <v>136</v>
      </c>
      <c r="B13" s="209"/>
      <c r="C13" s="71"/>
    </row>
    <row r="14" spans="1:3" ht="14.5">
      <c r="A14" s="69" t="s">
        <v>137</v>
      </c>
      <c r="B14" s="208">
        <f>B10/B9</f>
        <v>0.21581595215600136</v>
      </c>
    </row>
    <row r="15" spans="1:3" ht="15" thickBot="1">
      <c r="A15" s="70" t="s">
        <v>138</v>
      </c>
      <c r="B15" s="209"/>
    </row>
    <row r="17" spans="1:1">
      <c r="A17" s="55" t="s">
        <v>139</v>
      </c>
    </row>
  </sheetData>
  <mergeCells count="3">
    <mergeCell ref="B5:B6"/>
    <mergeCell ref="B12:B13"/>
    <mergeCell ref="B14:B15"/>
  </mergeCells>
  <conditionalFormatting sqref="B5:B6">
    <cfRule type="cellIs" dxfId="6" priority="5" operator="lessThan">
      <formula>0.667</formula>
    </cfRule>
    <cfRule type="cellIs" dxfId="5" priority="6" operator="greaterThanOrEqual">
      <formula>0.667</formula>
    </cfRule>
  </conditionalFormatting>
  <conditionalFormatting sqref="B12:B13">
    <cfRule type="cellIs" dxfId="4" priority="1" operator="lessThan">
      <formula>0.4</formula>
    </cfRule>
    <cfRule type="cellIs" dxfId="3" priority="2" operator="greaterThanOrEqual">
      <formula>0.4</formula>
    </cfRule>
  </conditionalFormatting>
  <conditionalFormatting sqref="B14:B15">
    <cfRule type="cellIs" dxfId="2" priority="3" operator="lessThan">
      <formula>0.3</formula>
    </cfRule>
    <cfRule type="cellIs" dxfId="1" priority="4" operator="greaterThanOrEqual">
      <formula>0.3</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4F1BD-4D04-4BC2-B6E0-983BAEC235CF}">
  <dimension ref="B1:G27"/>
  <sheetViews>
    <sheetView workbookViewId="0">
      <selection activeCell="C3" sqref="C3"/>
    </sheetView>
  </sheetViews>
  <sheetFormatPr defaultRowHeight="14.5"/>
  <cols>
    <col min="1" max="1" width="3.26953125" customWidth="1"/>
    <col min="2" max="2" width="53" customWidth="1"/>
    <col min="3" max="3" width="20.26953125" customWidth="1"/>
    <col min="4" max="4" width="13.453125" style="170" customWidth="1"/>
    <col min="5" max="5" width="15.1796875" customWidth="1"/>
    <col min="6" max="6" width="11.1796875" customWidth="1"/>
    <col min="7" max="7" width="25" customWidth="1"/>
    <col min="8" max="8" width="2.54296875" customWidth="1"/>
  </cols>
  <sheetData>
    <row r="1" spans="2:7">
      <c r="B1" s="142"/>
      <c r="C1" s="142"/>
      <c r="D1" s="143"/>
    </row>
    <row r="2" spans="2:7" ht="18.5">
      <c r="B2" s="144" t="s">
        <v>140</v>
      </c>
      <c r="C2" s="145"/>
      <c r="D2" s="146"/>
      <c r="E2" s="144" t="s">
        <v>141</v>
      </c>
    </row>
    <row r="3" spans="2:7">
      <c r="B3" s="147" t="s">
        <v>142</v>
      </c>
      <c r="C3" s="148" t="s">
        <v>126</v>
      </c>
      <c r="D3" s="149"/>
      <c r="E3" s="150" t="s">
        <v>143</v>
      </c>
      <c r="F3" s="151"/>
      <c r="G3" s="151"/>
    </row>
    <row r="4" spans="2:7">
      <c r="B4" s="147" t="s">
        <v>144</v>
      </c>
      <c r="C4" s="148" t="s">
        <v>145</v>
      </c>
      <c r="D4" s="149"/>
      <c r="E4" s="152" t="s">
        <v>146</v>
      </c>
      <c r="F4" s="151"/>
      <c r="G4" s="151"/>
    </row>
    <row r="5" spans="2:7">
      <c r="B5" s="153" t="s">
        <v>147</v>
      </c>
      <c r="C5" s="154">
        <f>'SF-424_RR-Budget-(RAversion)'!I110</f>
        <v>208511</v>
      </c>
      <c r="D5" s="155"/>
      <c r="E5" s="151"/>
      <c r="F5" s="151"/>
      <c r="G5" s="151"/>
    </row>
    <row r="6" spans="2:7">
      <c r="B6" s="156" t="str">
        <f>+IF(C3="SBIR","Not required for SBIR","B.  Research Institution Subaward, Amount in F5 for Research Institution: ")</f>
        <v>Not required for SBIR</v>
      </c>
      <c r="C6" s="157">
        <f>IF(C3="SBIR",0,'SF-424_RR-Budget-(RAversion)'!H80)</f>
        <v>0</v>
      </c>
      <c r="D6" s="155"/>
      <c r="E6" s="151"/>
      <c r="F6" s="151"/>
      <c r="G6" s="151"/>
    </row>
    <row r="7" spans="2:7" ht="29">
      <c r="B7" s="156" t="str">
        <f>+IF(C3="SBIR","C. Funding for Consultants &amp; Subawards, F3 + F5 + F8+ F9 + F10 (for third parties): (See Note 2)", "C.  Funding for Consultants &amp; Other Subawards, F3 + F5 (not including Research Institution) + F8 + F9 + F10 (for third parties): ")</f>
        <v>C. Funding for Consultants &amp; Subawards, F3 + F5 + F8+ F9 + F10 (for third parties): (See Note 2)</v>
      </c>
      <c r="C7" s="157">
        <f>IF(C6=0,'SF-424_RR-Budget-(RAversion)'!H78+'SF-424_RR-Budget-(RAversion)'!H81+'SF-424_RR-Budget-(RAversion)'!H80+'SF-424_RR-Budget-(RAversion)'!H84+'SF-424_RR-Budget-(RAversion)'!H85+'SF-424_RR-Budget-(RAversion)'!H86,'SF-424_RR-Budget-(RAversion)'!H78+'SF-424_RR-Budget-(RAversion)'!H81+'SF-424_RR-Budget-(RAversion)'!H84+'SF-424_RR-Budget-(RAversion)'!H85+'SF-424_RR-Budget-(RAversion)'!H86)</f>
        <v>45000</v>
      </c>
      <c r="D7" s="158" t="s">
        <v>148</v>
      </c>
      <c r="E7" s="159" t="s">
        <v>149</v>
      </c>
      <c r="F7" s="160"/>
      <c r="G7" s="161"/>
    </row>
    <row r="8" spans="2:7">
      <c r="B8" s="162" t="str">
        <f>"Small Business level of effort" &amp; IF(C3="SBIR","= (A-C)/A"," = (A-B-C)/A") &amp; ": "</f>
        <v xml:space="preserve">Small Business level of effort= (A-C)/A: </v>
      </c>
      <c r="C8" s="163">
        <f>+IF(C5&lt;&gt;0,IF(C3="SBIR",(C5-C7)/C5,(C5-C6-C7)/C5),"")</f>
        <v>0.78418404784399864</v>
      </c>
      <c r="D8" s="164" t="str">
        <f>+IF(C5&lt;&gt;0,IF(C8&gt;=+IF(AND(C4="Phase I",OR(C3="SBIR",LEFT(C3,4)="Both")),0.6666667,IF(C3="STTR",0.4,0.5)),"Yes","No"),"")</f>
        <v>Yes</v>
      </c>
      <c r="E8" s="210" t="str">
        <f>+IF(C5&lt;&gt;0,IF(AND(C3="SBIR",C4="Phase I")," &gt;=  66.7% for SBIR Phase I",+IF(AND(OR(C3="SBIR",LEFT(C3,4)="Both"),C4&lt;&gt;"Phase I"), " &gt;= 50% for " &amp; C3 &amp; " " &amp;  C4,+IF(AND(LEFT(C3,4)="Both",C4="Phase I")," &gt;= 66.7% for " &amp; C3 &amp; " " &amp; C4," &gt;= 40% for " &amp; C3 &amp; " "&amp;C4))) &amp; " applications","")</f>
        <v xml:space="preserve"> &gt;=  66.7% for SBIR Phase I applications</v>
      </c>
      <c r="F8" s="211"/>
      <c r="G8" s="212"/>
    </row>
    <row r="9" spans="2:7">
      <c r="B9" s="165" t="str">
        <f>+IF(C3="SBIR", "","Research Institution level of effort = B/A: ")</f>
        <v/>
      </c>
      <c r="C9" s="163" t="str">
        <f>+IF(C5&lt;&gt;0,IF(C3&lt;&gt;"SBIR",C6/C5,"N/A"),"")</f>
        <v>N/A</v>
      </c>
      <c r="D9" s="164" t="str">
        <f>+IF(C5&lt;&gt;0,IF(C3="SBIR","N/A",IF(C9&gt;=0.3,"Yes","No")),"")</f>
        <v>N/A</v>
      </c>
      <c r="E9" s="210" t="str">
        <f>+IF(C5&lt;&gt;0,IF(C3&lt;&gt;"SBIR"," &gt;= 30% for " &amp; C3 &amp; " " &amp; C4 &amp; " applications",""),"")</f>
        <v/>
      </c>
      <c r="F9" s="211"/>
      <c r="G9" s="212"/>
    </row>
    <row r="10" spans="2:7" ht="18.5">
      <c r="B10" s="144" t="s">
        <v>150</v>
      </c>
      <c r="C10" s="145"/>
      <c r="D10" s="166"/>
      <c r="E10" s="167"/>
      <c r="F10" s="167"/>
      <c r="G10" s="167"/>
    </row>
    <row r="11" spans="2:7">
      <c r="B11" s="153" t="s">
        <v>151</v>
      </c>
      <c r="C11" s="168">
        <v>0</v>
      </c>
      <c r="D11" s="164" t="str">
        <f>+IF(C11="","",IF(C11&lt;=+IF(C4="Phase I", 6500,50000),"Yes","No"))</f>
        <v>Yes</v>
      </c>
      <c r="E11" s="210" t="str">
        <f xml:space="preserve"> IF(C11="",""," Maximum TABA vendor budget is " &amp; IF(C4="Phase I","$6,500", "$50,000"))</f>
        <v xml:space="preserve"> Maximum TABA vendor budget is $6,500</v>
      </c>
      <c r="F11" s="211"/>
      <c r="G11" s="212"/>
    </row>
    <row r="12" spans="2:7" ht="29.15" customHeight="1">
      <c r="B12" s="153" t="s">
        <v>152</v>
      </c>
      <c r="C12" s="168">
        <v>200000</v>
      </c>
      <c r="D12" s="164" t="str">
        <f>+IF(C12="","",IF(AND(D11="Yes",C5&lt;=C11+C12),"Yes","No"))</f>
        <v>No</v>
      </c>
      <c r="E12" s="213" t="str">
        <f>" Total Requested Funds, K, should not exceed Maximum Award Amount plus TABA vendor funds"</f>
        <v xml:space="preserve"> Total Requested Funds, K, should not exceed Maximum Award Amount plus TABA vendor funds</v>
      </c>
      <c r="F12" s="214"/>
      <c r="G12" s="215"/>
    </row>
    <row r="13" spans="2:7">
      <c r="B13" s="169" t="s">
        <v>153</v>
      </c>
    </row>
    <row r="14" spans="2:7" ht="43.15" customHeight="1">
      <c r="B14" s="216" t="s">
        <v>154</v>
      </c>
      <c r="C14" s="216"/>
      <c r="D14" s="216"/>
      <c r="E14" s="216"/>
      <c r="F14" s="216"/>
      <c r="G14" s="216"/>
    </row>
    <row r="15" spans="2:7">
      <c r="B15" t="s">
        <v>155</v>
      </c>
      <c r="C15" s="171"/>
      <c r="D15" s="172"/>
    </row>
    <row r="16" spans="2:7">
      <c r="C16" s="171"/>
      <c r="D16" s="172"/>
    </row>
    <row r="19" spans="2:5">
      <c r="B19" s="173"/>
    </row>
    <row r="21" spans="2:5">
      <c r="B21" s="173"/>
    </row>
    <row r="23" spans="2:5">
      <c r="E23" s="51"/>
    </row>
    <row r="27" spans="2:5" hidden="1"/>
  </sheetData>
  <sheetProtection selectLockedCells="1"/>
  <mergeCells count="5">
    <mergeCell ref="E8:G8"/>
    <mergeCell ref="E9:G9"/>
    <mergeCell ref="E11:G11"/>
    <mergeCell ref="E12:G12"/>
    <mergeCell ref="B14:G14"/>
  </mergeCells>
  <conditionalFormatting sqref="C6">
    <cfRule type="expression" dxfId="0" priority="1">
      <formula>$C$3 = "SBIR"</formula>
    </cfRule>
  </conditionalFormatting>
  <dataValidations count="2">
    <dataValidation type="list" allowBlank="1" showInputMessage="1" showErrorMessage="1" sqref="C3" xr:uid="{1903FE70-2FF1-4BFE-B28E-AD6D5402B436}">
      <formula1>"SBIR,STTR, Both SBIR &amp; STTR"</formula1>
    </dataValidation>
    <dataValidation type="list" allowBlank="1" showInputMessage="1" showErrorMessage="1" sqref="C4" xr:uid="{6DE3698A-A7A5-4328-8F2E-EE9D7DA70E76}">
      <formula1>"Phase I, Phase II, Phase IIA, Phase IIB, Phase IIC"</formula1>
    </dataValidation>
  </dataValidations>
  <pageMargins left="0.7" right="0.7" top="0.75" bottom="0.75" header="0.3" footer="0.3"/>
  <pageSetup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8"/>
  <sheetViews>
    <sheetView topLeftCell="A2" zoomScale="80" zoomScaleNormal="80" workbookViewId="0">
      <selection activeCell="E41" sqref="E40:E41"/>
    </sheetView>
  </sheetViews>
  <sheetFormatPr defaultRowHeight="14.5"/>
  <cols>
    <col min="1" max="1" width="19.26953125" customWidth="1"/>
    <col min="2" max="2" width="19.81640625" customWidth="1"/>
    <col min="3" max="3" width="26.54296875" customWidth="1"/>
    <col min="4" max="4" width="19.453125" customWidth="1"/>
    <col min="5" max="5" width="13" bestFit="1" customWidth="1"/>
    <col min="6" max="6" width="15.1796875" bestFit="1" customWidth="1"/>
    <col min="7" max="7" width="10.26953125" customWidth="1"/>
    <col min="8" max="8" width="20.81640625" customWidth="1"/>
    <col min="9" max="9" width="12.453125" customWidth="1"/>
    <col min="10" max="10" width="13.1796875" customWidth="1"/>
    <col min="11" max="11" width="11.26953125" customWidth="1"/>
    <col min="12" max="12" width="17.54296875" customWidth="1"/>
  </cols>
  <sheetData>
    <row r="1" spans="1:13">
      <c r="A1" s="35" t="s">
        <v>156</v>
      </c>
      <c r="B1" s="36"/>
      <c r="C1" s="37"/>
      <c r="D1" s="37"/>
      <c r="E1" s="37"/>
      <c r="F1" s="37"/>
      <c r="G1" s="37"/>
      <c r="H1" s="37"/>
      <c r="I1" s="36"/>
      <c r="J1" s="36"/>
      <c r="K1" s="36"/>
      <c r="L1" s="36"/>
      <c r="M1" s="36"/>
    </row>
    <row r="2" spans="1:13">
      <c r="A2" s="35"/>
      <c r="B2" s="36"/>
      <c r="C2" s="36"/>
      <c r="D2" s="36"/>
      <c r="E2" s="36"/>
      <c r="F2" s="36"/>
      <c r="G2" s="36"/>
      <c r="H2" s="36"/>
      <c r="I2" s="36"/>
      <c r="J2" s="36"/>
      <c r="K2" s="36"/>
      <c r="L2" s="36"/>
      <c r="M2" s="36"/>
    </row>
    <row r="3" spans="1:13" ht="18">
      <c r="A3" s="36"/>
      <c r="B3" s="36"/>
      <c r="C3" s="36"/>
      <c r="D3" s="36"/>
      <c r="E3" s="36"/>
      <c r="F3" s="36"/>
      <c r="G3" s="36"/>
      <c r="H3" s="217" t="s">
        <v>157</v>
      </c>
      <c r="I3" s="218"/>
      <c r="J3" s="36"/>
      <c r="K3" s="36"/>
      <c r="L3" s="36"/>
      <c r="M3" s="36"/>
    </row>
    <row r="4" spans="1:13" ht="18">
      <c r="A4" s="97" t="s">
        <v>158</v>
      </c>
      <c r="B4" s="98" t="s">
        <v>159</v>
      </c>
      <c r="C4" s="99" t="s">
        <v>160</v>
      </c>
      <c r="D4" s="99" t="s">
        <v>161</v>
      </c>
      <c r="E4" s="99" t="s">
        <v>162</v>
      </c>
      <c r="F4" s="99" t="s">
        <v>163</v>
      </c>
      <c r="G4" s="99" t="s">
        <v>164</v>
      </c>
      <c r="H4" s="99" t="s">
        <v>165</v>
      </c>
      <c r="I4" s="100" t="s">
        <v>166</v>
      </c>
      <c r="J4" s="100" t="s">
        <v>167</v>
      </c>
      <c r="K4" s="100" t="s">
        <v>30</v>
      </c>
      <c r="L4" s="100" t="s">
        <v>168</v>
      </c>
      <c r="M4" s="36"/>
    </row>
    <row r="5" spans="1:13" ht="35">
      <c r="A5" s="101" t="s">
        <v>169</v>
      </c>
      <c r="B5" s="102" t="s">
        <v>170</v>
      </c>
      <c r="C5" s="103" t="s">
        <v>171</v>
      </c>
      <c r="D5" s="103" t="s">
        <v>172</v>
      </c>
      <c r="E5" s="102">
        <v>0</v>
      </c>
      <c r="F5" s="102">
        <v>1</v>
      </c>
      <c r="G5" s="102">
        <v>3</v>
      </c>
      <c r="H5" s="104">
        <v>258</v>
      </c>
      <c r="I5" s="105">
        <v>79</v>
      </c>
      <c r="J5" s="105">
        <v>360</v>
      </c>
      <c r="K5" s="105">
        <v>0</v>
      </c>
      <c r="L5" s="106">
        <f>(E5*F5*G5*I5)+(E5*F5*G5*H5)+(E5*F5*J5)+K5</f>
        <v>0</v>
      </c>
      <c r="M5" s="36"/>
    </row>
    <row r="6" spans="1:13" ht="35">
      <c r="A6" s="101" t="s">
        <v>169</v>
      </c>
      <c r="B6" s="102" t="s">
        <v>173</v>
      </c>
      <c r="C6" s="103" t="s">
        <v>174</v>
      </c>
      <c r="D6" s="103" t="s">
        <v>175</v>
      </c>
      <c r="E6" s="108">
        <v>0</v>
      </c>
      <c r="F6" s="108">
        <v>1</v>
      </c>
      <c r="G6" s="108">
        <v>2</v>
      </c>
      <c r="H6" s="104">
        <v>258</v>
      </c>
      <c r="I6" s="105">
        <v>79</v>
      </c>
      <c r="J6" s="105">
        <v>360</v>
      </c>
      <c r="K6" s="105">
        <v>250</v>
      </c>
      <c r="L6" s="106">
        <f t="shared" ref="L6:L9" si="0">(E6*F6*G6*I6)+(E6*F6*G6*H6)+(E6*F6*J6)+K6</f>
        <v>250</v>
      </c>
      <c r="M6" s="36"/>
    </row>
    <row r="7" spans="1:13" ht="35">
      <c r="A7" s="101" t="s">
        <v>169</v>
      </c>
      <c r="B7" s="102" t="s">
        <v>173</v>
      </c>
      <c r="C7" s="110" t="s">
        <v>176</v>
      </c>
      <c r="D7" s="103" t="s">
        <v>175</v>
      </c>
      <c r="E7" s="108">
        <v>1</v>
      </c>
      <c r="F7" s="108">
        <v>1</v>
      </c>
      <c r="G7" s="108">
        <v>2</v>
      </c>
      <c r="H7" s="104">
        <v>258</v>
      </c>
      <c r="I7" s="105">
        <v>79</v>
      </c>
      <c r="J7" s="105">
        <v>360</v>
      </c>
      <c r="K7" s="105">
        <v>250</v>
      </c>
      <c r="L7" s="106">
        <f t="shared" si="0"/>
        <v>1284</v>
      </c>
      <c r="M7" s="36"/>
    </row>
    <row r="8" spans="1:13" ht="17.5">
      <c r="A8" s="107"/>
      <c r="B8" s="108"/>
      <c r="C8" s="108"/>
      <c r="D8" s="108"/>
      <c r="E8" s="108"/>
      <c r="F8" s="108">
        <v>0</v>
      </c>
      <c r="G8" s="108">
        <v>0</v>
      </c>
      <c r="H8" s="104">
        <v>0</v>
      </c>
      <c r="I8" s="105">
        <v>0</v>
      </c>
      <c r="J8" s="105">
        <v>0</v>
      </c>
      <c r="K8" s="105">
        <v>0</v>
      </c>
      <c r="L8" s="106">
        <f t="shared" si="0"/>
        <v>0</v>
      </c>
      <c r="M8" s="36"/>
    </row>
    <row r="9" spans="1:13" ht="17.5">
      <c r="A9" s="108"/>
      <c r="B9" s="107"/>
      <c r="C9" s="108"/>
      <c r="D9" s="108"/>
      <c r="E9" s="108"/>
      <c r="F9" s="108"/>
      <c r="G9" s="108"/>
      <c r="H9" s="108"/>
      <c r="I9" s="109"/>
      <c r="J9" s="109"/>
      <c r="K9" s="109"/>
      <c r="L9" s="106">
        <f t="shared" si="0"/>
        <v>0</v>
      </c>
      <c r="M9" s="36"/>
    </row>
    <row r="10" spans="1:13" ht="17.5">
      <c r="A10" s="111"/>
      <c r="B10" s="112"/>
      <c r="C10" s="111"/>
      <c r="D10" s="111"/>
      <c r="E10" s="111"/>
      <c r="F10" s="111"/>
      <c r="G10" s="111"/>
      <c r="H10" s="111"/>
      <c r="I10" s="113"/>
      <c r="J10" s="113"/>
      <c r="K10" s="113"/>
      <c r="L10" s="114"/>
      <c r="M10" s="36"/>
    </row>
    <row r="11" spans="1:13" ht="18">
      <c r="A11" s="115"/>
      <c r="B11" s="115"/>
      <c r="C11" s="115"/>
      <c r="D11" s="115"/>
      <c r="E11" s="115"/>
      <c r="F11" s="115"/>
      <c r="G11" s="115"/>
      <c r="H11" s="115"/>
      <c r="I11" s="115"/>
      <c r="J11" s="115"/>
      <c r="K11" s="115"/>
      <c r="L11" s="116">
        <f>SUM(L5:L10)</f>
        <v>1534</v>
      </c>
      <c r="M11" s="36" t="s">
        <v>31</v>
      </c>
    </row>
    <row r="13" spans="1:13">
      <c r="A13" s="39" t="s">
        <v>177</v>
      </c>
      <c r="L13" s="51"/>
    </row>
    <row r="14" spans="1:13">
      <c r="A14" s="39" t="s">
        <v>178</v>
      </c>
    </row>
    <row r="15" spans="1:13">
      <c r="A15" s="39"/>
      <c r="B15" s="53" t="s">
        <v>179</v>
      </c>
    </row>
    <row r="16" spans="1:13">
      <c r="A16" t="s">
        <v>180</v>
      </c>
    </row>
    <row r="17" spans="1:2">
      <c r="A17" s="39" t="s">
        <v>181</v>
      </c>
    </row>
    <row r="18" spans="1:2">
      <c r="B18" s="53" t="s">
        <v>182</v>
      </c>
    </row>
  </sheetData>
  <mergeCells count="1">
    <mergeCell ref="H3:I3"/>
  </mergeCells>
  <hyperlinks>
    <hyperlink ref="B15" r:id="rId1" xr:uid="{9F7A27AA-1F3F-4BD4-A7BE-A3F7379A1A30}"/>
    <hyperlink ref="B18" r:id="rId2" display="https://www.travel.dod.mil/Programs/Rail/" xr:uid="{7EB0FA49-DD74-45F1-BDAE-D4B95C9884BB}"/>
  </hyperlinks>
  <pageMargins left="0.7" right="0.7" top="0.75" bottom="0.75" header="0.3" footer="0.3"/>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6"/>
  <sheetViews>
    <sheetView zoomScale="110" zoomScaleNormal="110" workbookViewId="0">
      <selection activeCell="F25" sqref="F25"/>
    </sheetView>
  </sheetViews>
  <sheetFormatPr defaultRowHeight="14.5"/>
  <cols>
    <col min="1" max="1" width="27.453125" customWidth="1"/>
    <col min="3" max="3" width="12.81640625" customWidth="1"/>
    <col min="4" max="4" width="12.453125" customWidth="1"/>
    <col min="5" max="5" width="19" bestFit="1" customWidth="1"/>
  </cols>
  <sheetData>
    <row r="1" spans="1:6">
      <c r="A1" s="35" t="s">
        <v>184</v>
      </c>
      <c r="B1" s="35"/>
      <c r="C1" s="36"/>
      <c r="D1" s="37" t="s">
        <v>183</v>
      </c>
      <c r="E1" s="36"/>
      <c r="F1" s="36"/>
    </row>
    <row r="2" spans="1:6">
      <c r="A2" s="35"/>
      <c r="B2" s="35"/>
      <c r="C2" s="36"/>
      <c r="D2" s="36"/>
      <c r="E2" s="36"/>
      <c r="F2" s="36"/>
    </row>
    <row r="3" spans="1:6">
      <c r="B3" s="35"/>
      <c r="C3" s="36"/>
      <c r="D3" s="40"/>
      <c r="E3" s="38"/>
      <c r="F3" s="36"/>
    </row>
    <row r="4" spans="1:6">
      <c r="A4" s="35"/>
      <c r="B4" s="35"/>
      <c r="C4" s="36"/>
      <c r="D4" s="40"/>
      <c r="E4" s="38"/>
      <c r="F4" s="36"/>
    </row>
    <row r="5" spans="1:6">
      <c r="A5" s="35" t="s">
        <v>185</v>
      </c>
      <c r="B5" s="37" t="s">
        <v>186</v>
      </c>
      <c r="C5" s="37" t="s">
        <v>187</v>
      </c>
      <c r="D5" s="37" t="s">
        <v>188</v>
      </c>
      <c r="E5" s="35" t="s">
        <v>189</v>
      </c>
      <c r="F5" s="37" t="s">
        <v>190</v>
      </c>
    </row>
    <row r="6" spans="1:6">
      <c r="A6" s="44" t="s">
        <v>191</v>
      </c>
      <c r="B6" s="45">
        <v>200</v>
      </c>
      <c r="C6" s="46">
        <v>11.07</v>
      </c>
      <c r="D6" s="47">
        <f t="shared" ref="D6:D17" si="0">B6*C6</f>
        <v>2214</v>
      </c>
      <c r="E6" s="45"/>
      <c r="F6" s="48" t="s">
        <v>192</v>
      </c>
    </row>
    <row r="7" spans="1:6">
      <c r="A7" s="44" t="s">
        <v>193</v>
      </c>
      <c r="B7" s="45">
        <v>60</v>
      </c>
      <c r="C7" s="46">
        <v>56.62</v>
      </c>
      <c r="D7" s="47">
        <f t="shared" si="0"/>
        <v>3397.2</v>
      </c>
      <c r="E7" s="45"/>
      <c r="F7" s="49" t="s">
        <v>194</v>
      </c>
    </row>
    <row r="8" spans="1:6">
      <c r="A8" s="44" t="s">
        <v>195</v>
      </c>
      <c r="B8" s="45">
        <v>80</v>
      </c>
      <c r="C8" s="46">
        <v>27.57</v>
      </c>
      <c r="D8" s="47">
        <f t="shared" si="0"/>
        <v>2205.6</v>
      </c>
      <c r="E8" s="45"/>
      <c r="F8" s="49" t="s">
        <v>194</v>
      </c>
    </row>
    <row r="9" spans="1:6">
      <c r="A9" s="44" t="s">
        <v>196</v>
      </c>
      <c r="B9" s="45">
        <v>80</v>
      </c>
      <c r="C9" s="45">
        <v>13.95</v>
      </c>
      <c r="D9" s="47">
        <f t="shared" si="0"/>
        <v>1116</v>
      </c>
      <c r="E9" s="96"/>
      <c r="F9" s="48" t="s">
        <v>194</v>
      </c>
    </row>
    <row r="10" spans="1:6">
      <c r="A10" s="44" t="s">
        <v>197</v>
      </c>
      <c r="B10" s="45">
        <v>200</v>
      </c>
      <c r="C10" s="46">
        <v>20.09</v>
      </c>
      <c r="D10" s="47">
        <f t="shared" si="0"/>
        <v>4018</v>
      </c>
      <c r="E10" s="45"/>
      <c r="F10" s="49" t="s">
        <v>194</v>
      </c>
    </row>
    <row r="11" spans="1:6">
      <c r="A11" s="44" t="s">
        <v>198</v>
      </c>
      <c r="B11" s="45">
        <v>200</v>
      </c>
      <c r="C11" s="46">
        <v>0.93</v>
      </c>
      <c r="D11" s="47">
        <f t="shared" si="0"/>
        <v>186</v>
      </c>
      <c r="E11" s="45"/>
      <c r="F11" s="49" t="s">
        <v>194</v>
      </c>
    </row>
    <row r="12" spans="1:6">
      <c r="A12" s="44" t="s">
        <v>199</v>
      </c>
      <c r="B12" s="45">
        <v>10</v>
      </c>
      <c r="C12" s="46">
        <v>99</v>
      </c>
      <c r="D12" s="47">
        <f t="shared" si="0"/>
        <v>990</v>
      </c>
      <c r="E12" s="45"/>
      <c r="F12" s="49" t="s">
        <v>194</v>
      </c>
    </row>
    <row r="13" spans="1:6">
      <c r="A13" s="44" t="s">
        <v>200</v>
      </c>
      <c r="B13" s="45">
        <v>1000</v>
      </c>
      <c r="C13" s="46">
        <v>6.4000000000000001E-2</v>
      </c>
      <c r="D13" s="47">
        <f t="shared" si="0"/>
        <v>64</v>
      </c>
      <c r="E13" s="45"/>
      <c r="F13" s="49" t="s">
        <v>194</v>
      </c>
    </row>
    <row r="14" spans="1:6">
      <c r="A14" s="44" t="s">
        <v>201</v>
      </c>
      <c r="B14" s="45">
        <v>1000</v>
      </c>
      <c r="C14" s="46">
        <v>0.17399999999999999</v>
      </c>
      <c r="D14" s="47">
        <f t="shared" si="0"/>
        <v>174</v>
      </c>
      <c r="E14" s="45"/>
      <c r="F14" s="49" t="s">
        <v>194</v>
      </c>
    </row>
    <row r="15" spans="1:6">
      <c r="A15" s="44" t="s">
        <v>202</v>
      </c>
      <c r="B15" s="45">
        <v>1000</v>
      </c>
      <c r="C15" s="46">
        <v>0.86</v>
      </c>
      <c r="D15" s="47">
        <f t="shared" si="0"/>
        <v>860</v>
      </c>
      <c r="E15" s="45"/>
      <c r="F15" s="49"/>
    </row>
    <row r="16" spans="1:6">
      <c r="A16" s="44" t="s">
        <v>203</v>
      </c>
      <c r="B16" s="45">
        <v>1000</v>
      </c>
      <c r="C16" s="45">
        <v>7.4999999999999997E-2</v>
      </c>
      <c r="D16" s="47">
        <f t="shared" si="0"/>
        <v>75</v>
      </c>
      <c r="E16" s="48"/>
      <c r="F16" s="48" t="s">
        <v>194</v>
      </c>
    </row>
    <row r="17" spans="1:6">
      <c r="A17" s="44" t="s">
        <v>204</v>
      </c>
      <c r="B17" s="45">
        <v>1</v>
      </c>
      <c r="C17" s="45">
        <v>2000</v>
      </c>
      <c r="D17" s="47">
        <f t="shared" si="0"/>
        <v>2000</v>
      </c>
      <c r="E17" s="48"/>
      <c r="F17" s="48" t="s">
        <v>205</v>
      </c>
    </row>
    <row r="18" spans="1:6">
      <c r="A18" s="40" t="s">
        <v>206</v>
      </c>
      <c r="B18" s="36"/>
      <c r="C18" s="36"/>
      <c r="D18" s="41">
        <f>SUM(D6:D17)</f>
        <v>17299.8</v>
      </c>
      <c r="E18" s="35"/>
      <c r="F18" s="36"/>
    </row>
    <row r="19" spans="1:6">
      <c r="A19" s="42"/>
      <c r="B19" s="42"/>
      <c r="C19" s="36"/>
      <c r="D19" s="36"/>
      <c r="E19" s="36"/>
      <c r="F19" s="36"/>
    </row>
    <row r="20" spans="1:6">
      <c r="A20" s="43"/>
      <c r="B20" s="43"/>
      <c r="C20" s="36"/>
      <c r="D20" s="36"/>
      <c r="E20" s="36"/>
      <c r="F20" s="36"/>
    </row>
    <row r="21" spans="1:6">
      <c r="A21" s="36"/>
      <c r="B21" s="36"/>
      <c r="C21" s="36"/>
      <c r="D21" s="36"/>
      <c r="E21" s="36"/>
      <c r="F21" s="36"/>
    </row>
    <row r="22" spans="1:6">
      <c r="A22" s="35" t="s">
        <v>207</v>
      </c>
      <c r="B22" s="36"/>
      <c r="C22" s="36"/>
      <c r="D22" s="36"/>
      <c r="E22" s="36"/>
      <c r="F22" s="36"/>
    </row>
    <row r="23" spans="1:6">
      <c r="A23" s="36" t="s">
        <v>208</v>
      </c>
      <c r="B23" s="36"/>
      <c r="C23" s="36"/>
      <c r="D23" s="36"/>
      <c r="E23" s="36"/>
      <c r="F23" s="36"/>
    </row>
    <row r="24" spans="1:6">
      <c r="A24" s="36" t="s">
        <v>209</v>
      </c>
      <c r="B24" s="36"/>
      <c r="C24" s="36"/>
      <c r="D24" s="36"/>
      <c r="E24" s="36"/>
      <c r="F24" s="36"/>
    </row>
    <row r="25" spans="1:6">
      <c r="A25" s="36" t="s">
        <v>210</v>
      </c>
      <c r="B25" s="36"/>
      <c r="C25" s="36"/>
      <c r="D25" s="36"/>
      <c r="E25" s="36"/>
      <c r="F25" s="36"/>
    </row>
    <row r="26" spans="1:6">
      <c r="A26" s="36" t="s">
        <v>211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0"/>
  <sheetViews>
    <sheetView zoomScale="150" zoomScaleNormal="150" workbookViewId="0">
      <selection activeCell="D15" sqref="D15"/>
    </sheetView>
  </sheetViews>
  <sheetFormatPr defaultRowHeight="14.5"/>
  <cols>
    <col min="1" max="1" width="66" bestFit="1" customWidth="1"/>
  </cols>
  <sheetData>
    <row r="1" spans="1:1">
      <c r="A1" s="184" t="s">
        <v>212</v>
      </c>
    </row>
    <row r="2" spans="1:1">
      <c r="A2" s="185"/>
    </row>
    <row r="3" spans="1:1">
      <c r="A3" s="184" t="s">
        <v>213</v>
      </c>
    </row>
    <row r="4" spans="1:1">
      <c r="A4" s="185"/>
    </row>
    <row r="5" spans="1:1">
      <c r="A5" s="184" t="s">
        <v>214</v>
      </c>
    </row>
    <row r="6" spans="1:1">
      <c r="A6" s="185"/>
    </row>
    <row r="7" spans="1:1">
      <c r="A7" s="184" t="s">
        <v>215</v>
      </c>
    </row>
    <row r="8" spans="1:1">
      <c r="A8" s="185"/>
    </row>
    <row r="9" spans="1:1">
      <c r="A9" s="184" t="s">
        <v>216</v>
      </c>
    </row>
    <row r="10" spans="1:1">
      <c r="A10" s="185"/>
    </row>
    <row r="11" spans="1:1">
      <c r="A11" s="186" t="s">
        <v>217</v>
      </c>
    </row>
    <row r="12" spans="1:1">
      <c r="A12" s="185" t="s">
        <v>218</v>
      </c>
    </row>
    <row r="13" spans="1:1">
      <c r="A13" s="185" t="s">
        <v>219</v>
      </c>
    </row>
    <row r="14" spans="1:1">
      <c r="A14" s="185" t="s">
        <v>220</v>
      </c>
    </row>
    <row r="15" spans="1:1">
      <c r="A15" s="185" t="s">
        <v>221</v>
      </c>
    </row>
    <row r="16" spans="1:1">
      <c r="A16" s="185" t="s">
        <v>222</v>
      </c>
    </row>
    <row r="17" spans="1:1">
      <c r="A17" s="187" t="s">
        <v>223</v>
      </c>
    </row>
    <row r="18" spans="1:1">
      <c r="A18" s="185"/>
    </row>
    <row r="19" spans="1:1">
      <c r="A19" s="188"/>
    </row>
    <row r="20" spans="1:1">
      <c r="A20" s="185"/>
    </row>
  </sheetData>
  <hyperlinks>
    <hyperlink ref="A1" r:id="rId1" location="11-0000" display="https://www.bls.gov/oes/current/oes_nat.htm - 11-0000" xr:uid="{00000000-0004-0000-0500-000000000000}"/>
    <hyperlink ref="A3" r:id="rId2" location="11-0000" display="http://www.bls.gov/oes/current/oes_nat.htm - 11-0000" xr:uid="{00000000-0004-0000-0500-000001000000}"/>
    <hyperlink ref="A5" r:id="rId3" location="15-0000" display="http://www.bls.gov/oes/current/oes_nat.htm - 15-0000" xr:uid="{00000000-0004-0000-0500-000002000000}"/>
    <hyperlink ref="A7" r:id="rId4" location="17-0000" display="http://www.bls.gov/oes/current/oes_nat.htm - 17-0000" xr:uid="{00000000-0004-0000-0500-000003000000}"/>
    <hyperlink ref="A9" r:id="rId5" location="19-0000" display="http://www.bls.gov/oes/current/oes_nat.htm - 19-0000" xr:uid="{00000000-0004-0000-0500-000004000000}"/>
    <hyperlink ref="A17" r:id="rId6" xr:uid="{00000000-0004-0000-0500-000005000000}"/>
  </hyperlinks>
  <pageMargins left="0.7" right="0.7" top="0.75" bottom="0.75" header="0.3" footer="0.3"/>
  <pageSetup orientation="portrait"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7"/>
  <sheetViews>
    <sheetView zoomScaleNormal="100" workbookViewId="0">
      <selection activeCell="E7" sqref="E7"/>
    </sheetView>
  </sheetViews>
  <sheetFormatPr defaultRowHeight="14.5"/>
  <cols>
    <col min="2" max="2" width="19.453125" customWidth="1"/>
    <col min="3" max="3" width="15" customWidth="1"/>
    <col min="4" max="4" width="14.1796875" customWidth="1"/>
    <col min="5" max="6" width="13.81640625" customWidth="1"/>
    <col min="8" max="8" width="9.81640625" customWidth="1"/>
    <col min="9" max="13" width="14.54296875" customWidth="1"/>
  </cols>
  <sheetData>
    <row r="1" spans="1:13" ht="15.5">
      <c r="A1" s="73" t="s">
        <v>224</v>
      </c>
    </row>
    <row r="3" spans="1:13" ht="15.5">
      <c r="A3" s="74" t="s">
        <v>225</v>
      </c>
    </row>
    <row r="4" spans="1:13">
      <c r="A4" t="s">
        <v>279</v>
      </c>
    </row>
    <row r="5" spans="1:13">
      <c r="A5" t="s">
        <v>226</v>
      </c>
    </row>
    <row r="6" spans="1:13">
      <c r="B6" t="s">
        <v>227</v>
      </c>
    </row>
    <row r="7" spans="1:13">
      <c r="A7" t="s">
        <v>228</v>
      </c>
    </row>
    <row r="8" spans="1:13">
      <c r="A8" t="s">
        <v>229</v>
      </c>
    </row>
    <row r="10" spans="1:13" ht="15.5">
      <c r="A10" s="74" t="s">
        <v>230</v>
      </c>
      <c r="H10" s="74" t="s">
        <v>231</v>
      </c>
    </row>
    <row r="11" spans="1:13">
      <c r="L11" s="76">
        <f>K13+M13</f>
        <v>75331.333333333343</v>
      </c>
    </row>
    <row r="12" spans="1:13">
      <c r="B12" s="1" t="s">
        <v>232</v>
      </c>
      <c r="C12" s="3" t="s">
        <v>233</v>
      </c>
      <c r="D12" s="3" t="s">
        <v>234</v>
      </c>
      <c r="I12" s="1" t="s">
        <v>232</v>
      </c>
      <c r="J12" s="3" t="s">
        <v>233</v>
      </c>
      <c r="K12" s="3" t="s">
        <v>234</v>
      </c>
      <c r="L12" s="119" t="s">
        <v>235</v>
      </c>
      <c r="M12" s="119" t="s">
        <v>236</v>
      </c>
    </row>
    <row r="13" spans="1:13">
      <c r="B13" s="1" t="s">
        <v>237</v>
      </c>
      <c r="C13" s="75">
        <f>(200000*2/3)+2</f>
        <v>133335.33333333334</v>
      </c>
      <c r="D13" s="76">
        <f>200000-C13</f>
        <v>66664.666666666657</v>
      </c>
      <c r="I13" s="1" t="s">
        <v>237</v>
      </c>
      <c r="J13" s="75">
        <f>(206500*2/3)+2</f>
        <v>137668.66666666666</v>
      </c>
      <c r="K13" s="76">
        <f>206500-J13</f>
        <v>68831.333333333343</v>
      </c>
      <c r="L13" s="76">
        <f>K13-6500</f>
        <v>62331.333333333343</v>
      </c>
      <c r="M13">
        <v>6500</v>
      </c>
    </row>
    <row r="14" spans="1:13">
      <c r="B14" s="52"/>
      <c r="I14" s="52"/>
    </row>
    <row r="15" spans="1:13">
      <c r="B15" s="1" t="s">
        <v>238</v>
      </c>
      <c r="C15" s="3" t="s">
        <v>233</v>
      </c>
      <c r="D15" s="3" t="s">
        <v>239</v>
      </c>
      <c r="E15" s="3" t="s">
        <v>240</v>
      </c>
      <c r="F15" s="3" t="s">
        <v>234</v>
      </c>
      <c r="I15" s="1" t="s">
        <v>238</v>
      </c>
      <c r="J15" s="3" t="s">
        <v>233</v>
      </c>
      <c r="K15" s="3" t="s">
        <v>239</v>
      </c>
      <c r="L15" s="3" t="s">
        <v>240</v>
      </c>
      <c r="M15" s="3" t="s">
        <v>234</v>
      </c>
    </row>
    <row r="16" spans="1:13">
      <c r="B16" s="1" t="s">
        <v>237</v>
      </c>
      <c r="C16" s="75">
        <f>(200000*0.4)</f>
        <v>80000</v>
      </c>
      <c r="D16" s="75">
        <f>200000-E16</f>
        <v>140000</v>
      </c>
      <c r="E16" s="76">
        <f>200000*0.3</f>
        <v>60000</v>
      </c>
      <c r="F16" s="76">
        <f>200000-C16</f>
        <v>120000</v>
      </c>
      <c r="I16" s="1" t="s">
        <v>237</v>
      </c>
      <c r="J16" s="75">
        <f>(206500*0.4)</f>
        <v>82600</v>
      </c>
      <c r="K16" s="75">
        <f>206500-L16</f>
        <v>144550</v>
      </c>
      <c r="L16" s="76">
        <f>206500*0.3</f>
        <v>61950</v>
      </c>
      <c r="M16" s="76">
        <f>206500-J16</f>
        <v>123900</v>
      </c>
    </row>
    <row r="18" spans="1:13">
      <c r="B18" s="1" t="s">
        <v>241</v>
      </c>
      <c r="C18" s="3" t="s">
        <v>233</v>
      </c>
      <c r="D18" s="3" t="s">
        <v>239</v>
      </c>
      <c r="E18" s="3" t="s">
        <v>240</v>
      </c>
      <c r="F18" s="3" t="s">
        <v>234</v>
      </c>
      <c r="I18" s="1" t="s">
        <v>241</v>
      </c>
      <c r="J18" s="3" t="s">
        <v>233</v>
      </c>
      <c r="K18" s="3" t="s">
        <v>239</v>
      </c>
      <c r="L18" s="3" t="s">
        <v>240</v>
      </c>
      <c r="M18" s="3" t="s">
        <v>234</v>
      </c>
    </row>
    <row r="19" spans="1:13">
      <c r="B19" s="1" t="s">
        <v>237</v>
      </c>
      <c r="C19" s="75">
        <f>C13</f>
        <v>133335.33333333334</v>
      </c>
      <c r="D19" s="75">
        <f>200000-E19</f>
        <v>140000</v>
      </c>
      <c r="E19" s="76">
        <f>200000*0.3</f>
        <v>60000</v>
      </c>
      <c r="F19" s="76">
        <f>D13</f>
        <v>66664.666666666657</v>
      </c>
      <c r="I19" s="1" t="s">
        <v>237</v>
      </c>
      <c r="J19" s="75">
        <f>J13</f>
        <v>137668.66666666666</v>
      </c>
      <c r="K19" s="75">
        <f>206500-L19</f>
        <v>144550</v>
      </c>
      <c r="L19" s="76">
        <f>206500*0.3</f>
        <v>61950</v>
      </c>
      <c r="M19" s="76">
        <f>K13</f>
        <v>68831.333333333343</v>
      </c>
    </row>
    <row r="20" spans="1:13">
      <c r="D20" s="76"/>
      <c r="E20" s="76"/>
    </row>
    <row r="21" spans="1:13" ht="15.5">
      <c r="A21" s="74" t="s">
        <v>242</v>
      </c>
      <c r="H21" s="74" t="s">
        <v>243</v>
      </c>
    </row>
    <row r="23" spans="1:13">
      <c r="B23" s="1" t="s">
        <v>232</v>
      </c>
      <c r="C23" s="3" t="s">
        <v>233</v>
      </c>
      <c r="D23" s="3" t="s">
        <v>234</v>
      </c>
      <c r="I23" s="1" t="s">
        <v>232</v>
      </c>
      <c r="J23" s="3" t="s">
        <v>233</v>
      </c>
      <c r="K23" s="3" t="s">
        <v>234</v>
      </c>
    </row>
    <row r="24" spans="1:13">
      <c r="B24" s="1" t="s">
        <v>237</v>
      </c>
      <c r="C24" s="75">
        <f>(250000*2/3)</f>
        <v>166666.66666666666</v>
      </c>
      <c r="D24" s="76">
        <f>250000-C24</f>
        <v>83333.333333333343</v>
      </c>
      <c r="I24" s="1" t="s">
        <v>237</v>
      </c>
      <c r="J24" s="75">
        <f>(256500*2/3)</f>
        <v>171000</v>
      </c>
      <c r="K24" s="76">
        <f>256500-J24</f>
        <v>85500</v>
      </c>
    </row>
    <row r="25" spans="1:13">
      <c r="B25" s="52"/>
      <c r="I25" s="52"/>
    </row>
    <row r="26" spans="1:13">
      <c r="B26" s="1" t="s">
        <v>238</v>
      </c>
      <c r="C26" s="3" t="s">
        <v>233</v>
      </c>
      <c r="D26" s="3" t="s">
        <v>239</v>
      </c>
      <c r="E26" s="3" t="s">
        <v>240</v>
      </c>
      <c r="F26" s="3" t="s">
        <v>234</v>
      </c>
      <c r="I26" s="1" t="s">
        <v>238</v>
      </c>
      <c r="J26" s="3" t="s">
        <v>233</v>
      </c>
      <c r="K26" s="3" t="s">
        <v>239</v>
      </c>
      <c r="L26" s="3" t="s">
        <v>240</v>
      </c>
      <c r="M26" s="3" t="s">
        <v>234</v>
      </c>
    </row>
    <row r="27" spans="1:13">
      <c r="B27" s="1" t="s">
        <v>237</v>
      </c>
      <c r="C27" s="75">
        <f>(250000*0.4)</f>
        <v>100000</v>
      </c>
      <c r="D27" s="75">
        <f>250000-E27</f>
        <v>175000</v>
      </c>
      <c r="E27" s="76">
        <f>250000*0.3</f>
        <v>75000</v>
      </c>
      <c r="F27" s="76">
        <f>250000-C27</f>
        <v>150000</v>
      </c>
      <c r="I27" s="1" t="s">
        <v>237</v>
      </c>
      <c r="J27" s="75">
        <f>(256500*0.4)</f>
        <v>102600</v>
      </c>
      <c r="K27" s="75">
        <f>256500-L27</f>
        <v>179550</v>
      </c>
      <c r="L27" s="76">
        <f>256500*0.3</f>
        <v>76950</v>
      </c>
      <c r="M27" s="76">
        <f>256500-J27</f>
        <v>153900</v>
      </c>
    </row>
    <row r="29" spans="1:13">
      <c r="B29" s="1" t="s">
        <v>241</v>
      </c>
      <c r="C29" s="3" t="s">
        <v>233</v>
      </c>
      <c r="D29" s="3" t="s">
        <v>239</v>
      </c>
      <c r="E29" s="3" t="s">
        <v>240</v>
      </c>
      <c r="F29" s="3" t="s">
        <v>234</v>
      </c>
      <c r="I29" s="1" t="s">
        <v>241</v>
      </c>
      <c r="J29" s="3" t="s">
        <v>233</v>
      </c>
      <c r="K29" s="3" t="s">
        <v>239</v>
      </c>
      <c r="L29" s="3" t="s">
        <v>240</v>
      </c>
      <c r="M29" s="3" t="s">
        <v>234</v>
      </c>
    </row>
    <row r="30" spans="1:13">
      <c r="B30" s="1" t="s">
        <v>237</v>
      </c>
      <c r="C30" s="75">
        <f>C24</f>
        <v>166666.66666666666</v>
      </c>
      <c r="D30" s="75">
        <f>250000-E30</f>
        <v>175000</v>
      </c>
      <c r="E30" s="76">
        <f>250000*0.3</f>
        <v>75000</v>
      </c>
      <c r="F30" s="76">
        <f>D24</f>
        <v>83333.333333333343</v>
      </c>
      <c r="I30" s="1" t="s">
        <v>237</v>
      </c>
      <c r="J30" s="75">
        <f>J24</f>
        <v>171000</v>
      </c>
      <c r="K30" s="75">
        <f>256500-L30</f>
        <v>179550</v>
      </c>
      <c r="L30" s="76">
        <f>256500*0.3</f>
        <v>76950</v>
      </c>
      <c r="M30" s="76">
        <f>K24</f>
        <v>85500</v>
      </c>
    </row>
    <row r="32" spans="1:13">
      <c r="A32" s="1" t="s">
        <v>244</v>
      </c>
      <c r="I32" s="1" t="s">
        <v>245</v>
      </c>
    </row>
    <row r="33" spans="1:9">
      <c r="A33" t="s">
        <v>246</v>
      </c>
      <c r="I33" t="s">
        <v>247</v>
      </c>
    </row>
    <row r="34" spans="1:9">
      <c r="A34" t="s">
        <v>248</v>
      </c>
      <c r="I34" t="s">
        <v>249</v>
      </c>
    </row>
    <row r="36" spans="1:9">
      <c r="A36" t="s">
        <v>250</v>
      </c>
      <c r="I36" t="s">
        <v>251</v>
      </c>
    </row>
    <row r="37" spans="1:9">
      <c r="A37" t="s">
        <v>252</v>
      </c>
      <c r="I37" t="s">
        <v>253</v>
      </c>
    </row>
    <row r="39" spans="1:9">
      <c r="A39" t="s">
        <v>254</v>
      </c>
      <c r="I39" t="s">
        <v>255</v>
      </c>
    </row>
    <row r="40" spans="1:9">
      <c r="A40" t="s">
        <v>256</v>
      </c>
      <c r="I40" t="s">
        <v>257</v>
      </c>
    </row>
    <row r="42" spans="1:9">
      <c r="A42" s="1" t="s">
        <v>258</v>
      </c>
      <c r="I42" s="1" t="s">
        <v>258</v>
      </c>
    </row>
    <row r="43" spans="1:9">
      <c r="A43" t="s">
        <v>259</v>
      </c>
      <c r="I43" t="s">
        <v>260</v>
      </c>
    </row>
    <row r="44" spans="1:9">
      <c r="A44" t="s">
        <v>261</v>
      </c>
      <c r="I44" t="s">
        <v>262</v>
      </c>
    </row>
    <row r="46" spans="1:9">
      <c r="A46" t="s">
        <v>263</v>
      </c>
      <c r="I46" t="s">
        <v>264</v>
      </c>
    </row>
    <row r="47" spans="1:9">
      <c r="A47" t="s">
        <v>265</v>
      </c>
      <c r="I47" t="s">
        <v>266</v>
      </c>
    </row>
    <row r="49" spans="1:9">
      <c r="A49" t="s">
        <v>267</v>
      </c>
      <c r="I49" t="s">
        <v>268</v>
      </c>
    </row>
    <row r="50" spans="1:9">
      <c r="A50" t="s">
        <v>269</v>
      </c>
      <c r="I50" t="s">
        <v>270</v>
      </c>
    </row>
    <row r="53" spans="1:9" ht="15.5">
      <c r="A53" s="74" t="s">
        <v>271</v>
      </c>
    </row>
    <row r="54" spans="1:9">
      <c r="A54" t="s">
        <v>272</v>
      </c>
    </row>
    <row r="55" spans="1:9">
      <c r="A55" t="s">
        <v>273</v>
      </c>
    </row>
    <row r="56" spans="1:9">
      <c r="A56" t="s">
        <v>274</v>
      </c>
    </row>
    <row r="57" spans="1:9">
      <c r="A57" t="s">
        <v>275</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B6F24-2BB1-477B-A5E5-B9E6C5A02727}">
  <dimension ref="A1:A9"/>
  <sheetViews>
    <sheetView workbookViewId="0">
      <selection activeCell="A8" sqref="A8"/>
    </sheetView>
  </sheetViews>
  <sheetFormatPr defaultRowHeight="14.5"/>
  <cols>
    <col min="1" max="1" width="55.7265625" customWidth="1"/>
  </cols>
  <sheetData>
    <row r="1" spans="1:1">
      <c r="A1" s="1" t="s">
        <v>276</v>
      </c>
    </row>
    <row r="2" spans="1:1">
      <c r="A2" s="53" t="s">
        <v>277</v>
      </c>
    </row>
    <row r="3" spans="1:1">
      <c r="A3" s="53" t="s">
        <v>278</v>
      </c>
    </row>
    <row r="4" spans="1:1">
      <c r="A4" s="189" t="s">
        <v>284</v>
      </c>
    </row>
    <row r="5" spans="1:1">
      <c r="A5" s="53" t="s">
        <v>280</v>
      </c>
    </row>
    <row r="6" spans="1:1">
      <c r="A6" s="53" t="s">
        <v>281</v>
      </c>
    </row>
    <row r="7" spans="1:1">
      <c r="A7" s="53" t="s">
        <v>282</v>
      </c>
    </row>
    <row r="8" spans="1:1">
      <c r="A8" s="53" t="s">
        <v>283</v>
      </c>
    </row>
    <row r="9" spans="1:1">
      <c r="A9" s="53"/>
    </row>
  </sheetData>
  <hyperlinks>
    <hyperlink ref="A2" r:id="rId1" xr:uid="{C64725D9-101E-488C-8457-AD91345BAE9E}"/>
    <hyperlink ref="A3" r:id="rId2" xr:uid="{EA2A1822-8D93-43D9-BB7F-EDF18DB7816E}"/>
    <hyperlink ref="A4" r:id="rId3" xr:uid="{6D6C83A9-ADFC-4865-A381-2A0D6D325965}"/>
    <hyperlink ref="A5" r:id="rId4" xr:uid="{5725D43E-4A07-4D51-AD7E-57082E6EBBE2}"/>
    <hyperlink ref="A6" r:id="rId5" xr:uid="{8E7ED131-41EE-48ED-9279-9D346FCA0B96}"/>
    <hyperlink ref="A7" r:id="rId6" xr:uid="{20464164-62F5-4038-8396-D9121FE578BC}"/>
    <hyperlink ref="A8" r:id="rId7" xr:uid="{6BD2F0FE-ACAC-4CFF-9F2B-C7DE4E217FF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 me first</vt:lpstr>
      <vt:lpstr>SF-424_RR-Budget-(RAversion)</vt:lpstr>
      <vt:lpstr>LOE worksheet</vt:lpstr>
      <vt:lpstr>New LOE Worksheet</vt:lpstr>
      <vt:lpstr>Travel BOE</vt:lpstr>
      <vt:lpstr>Material BOE</vt:lpstr>
      <vt:lpstr>Labor BOE</vt:lpstr>
      <vt:lpstr>SubBudget</vt:lpstr>
      <vt:lpstr>Additional Resources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Dave's Desktop</dc:creator>
  <cp:keywords/>
  <dc:description/>
  <cp:lastModifiedBy>Christy Evans</cp:lastModifiedBy>
  <cp:revision/>
  <dcterms:created xsi:type="dcterms:W3CDTF">2015-11-17T17:34:23Z</dcterms:created>
  <dcterms:modified xsi:type="dcterms:W3CDTF">2024-07-03T02:03:01Z</dcterms:modified>
  <cp:category/>
  <cp:contentStatus/>
</cp:coreProperties>
</file>